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"/>
    </mc:Choice>
  </mc:AlternateContent>
  <xr:revisionPtr revIDLastSave="610" documentId="11_9248B46DC1CBB2E3ED7FF6F9903E8C1851038383" xr6:coauthVersionLast="47" xr6:coauthVersionMax="47" xr10:uidLastSave="{FA355038-106D-4D3D-84F4-09CF79F0AE50}"/>
  <bookViews>
    <workbookView xWindow="-23148" yWindow="-108" windowWidth="23256" windowHeight="12456" firstSheet="7" activeTab="7" xr2:uid="{00000000-000D-0000-FFFF-FFFF00000000}"/>
  </bookViews>
  <sheets>
    <sheet name="Wk -2 Analysis" sheetId="1" r:id="rId1"/>
    <sheet name="Wk -1 Analysis " sheetId="2" r:id="rId2"/>
    <sheet name="Wk 0 Analysis " sheetId="4" r:id="rId3"/>
    <sheet name="Wk 1 Analysis " sheetId="5" r:id="rId4"/>
    <sheet name="Wk 2 Analysis " sheetId="6" r:id="rId5"/>
    <sheet name="Wk 3 Analysis  " sheetId="7" r:id="rId6"/>
    <sheet name="Wk 4 Analysis" sheetId="8" r:id="rId7"/>
    <sheet name="Wk 5 Analysis " sheetId="9" r:id="rId8"/>
    <sheet name="New Arrivals" sheetId="3" r:id="rId9"/>
  </sheets>
  <externalReferences>
    <externalReference r:id="rId10"/>
    <externalReference r:id="rId11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9" l="1"/>
  <c r="Q9" i="9"/>
  <c r="Q15" i="9"/>
  <c r="Q26" i="8"/>
  <c r="Q14" i="8"/>
  <c r="Q13" i="8"/>
  <c r="Q14" i="7"/>
  <c r="Q17" i="5"/>
  <c r="Q26" i="4"/>
  <c r="Q13" i="2"/>
  <c r="Q13" i="9" l="1"/>
  <c r="Q7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3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3" i="9"/>
  <c r="E28" i="9"/>
  <c r="D28" i="9"/>
  <c r="C28" i="9"/>
  <c r="G28" i="9" s="1"/>
  <c r="E27" i="9"/>
  <c r="D27" i="9"/>
  <c r="C27" i="9"/>
  <c r="E26" i="9"/>
  <c r="D26" i="9"/>
  <c r="C26" i="9"/>
  <c r="G26" i="9" s="1"/>
  <c r="E25" i="9"/>
  <c r="D25" i="9"/>
  <c r="C25" i="9"/>
  <c r="E24" i="9"/>
  <c r="D24" i="9"/>
  <c r="C24" i="9"/>
  <c r="E23" i="9"/>
  <c r="D23" i="9"/>
  <c r="C23" i="9"/>
  <c r="E22" i="9"/>
  <c r="D22" i="9"/>
  <c r="C22" i="9"/>
  <c r="E21" i="9"/>
  <c r="D21" i="9"/>
  <c r="C21" i="9"/>
  <c r="I21" i="9" s="1"/>
  <c r="E20" i="9"/>
  <c r="D20" i="9"/>
  <c r="C20" i="9"/>
  <c r="E19" i="9"/>
  <c r="D19" i="9"/>
  <c r="C19" i="9"/>
  <c r="G19" i="9" s="1"/>
  <c r="E18" i="9"/>
  <c r="D18" i="9"/>
  <c r="C18" i="9"/>
  <c r="E17" i="9"/>
  <c r="D17" i="9"/>
  <c r="C17" i="9"/>
  <c r="I17" i="9" s="1"/>
  <c r="E16" i="9"/>
  <c r="D16" i="9"/>
  <c r="C16" i="9"/>
  <c r="E15" i="9"/>
  <c r="D15" i="9"/>
  <c r="C15" i="9"/>
  <c r="E14" i="9"/>
  <c r="D14" i="9"/>
  <c r="C14" i="9"/>
  <c r="I14" i="9" s="1"/>
  <c r="E13" i="9"/>
  <c r="D13" i="9"/>
  <c r="C13" i="9"/>
  <c r="E12" i="9"/>
  <c r="D12" i="9"/>
  <c r="C12" i="9"/>
  <c r="I12" i="9" s="1"/>
  <c r="E11" i="9"/>
  <c r="D11" i="9"/>
  <c r="C11" i="9"/>
  <c r="E10" i="9"/>
  <c r="D10" i="9"/>
  <c r="C10" i="9"/>
  <c r="I10" i="9" s="1"/>
  <c r="E9" i="9"/>
  <c r="D9" i="9"/>
  <c r="C9" i="9"/>
  <c r="I9" i="9" s="1"/>
  <c r="E8" i="9"/>
  <c r="D8" i="9"/>
  <c r="C8" i="9"/>
  <c r="H8" i="9" s="1"/>
  <c r="E7" i="9"/>
  <c r="D7" i="9"/>
  <c r="C7" i="9"/>
  <c r="E6" i="9"/>
  <c r="D6" i="9"/>
  <c r="C6" i="9"/>
  <c r="H6" i="9" s="1"/>
  <c r="E5" i="9"/>
  <c r="D5" i="9"/>
  <c r="C5" i="9"/>
  <c r="E4" i="9"/>
  <c r="D4" i="9"/>
  <c r="C4" i="9"/>
  <c r="E3" i="9"/>
  <c r="D3" i="9"/>
  <c r="C3" i="9"/>
  <c r="Q18" i="8"/>
  <c r="Q5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3" i="8"/>
  <c r="Q13" i="7"/>
  <c r="K13" i="7"/>
  <c r="Q9" i="6"/>
  <c r="K9" i="7"/>
  <c r="Q6" i="6"/>
  <c r="Q3" i="6"/>
  <c r="K3" i="7"/>
  <c r="Q21" i="7"/>
  <c r="Q17" i="7"/>
  <c r="K4" i="7"/>
  <c r="K5" i="7"/>
  <c r="K7" i="7"/>
  <c r="K8" i="7"/>
  <c r="K10" i="7"/>
  <c r="K11" i="7"/>
  <c r="K12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K3" i="6"/>
  <c r="E28" i="8"/>
  <c r="D28" i="8"/>
  <c r="C28" i="8"/>
  <c r="E27" i="8"/>
  <c r="D27" i="8"/>
  <c r="C27" i="8"/>
  <c r="I27" i="8" s="1"/>
  <c r="E26" i="8"/>
  <c r="D26" i="8"/>
  <c r="C26" i="8"/>
  <c r="E25" i="8"/>
  <c r="D25" i="8"/>
  <c r="C25" i="8"/>
  <c r="E24" i="8"/>
  <c r="D24" i="8"/>
  <c r="C24" i="8"/>
  <c r="E23" i="8"/>
  <c r="D23" i="8"/>
  <c r="C23" i="8"/>
  <c r="I23" i="8" s="1"/>
  <c r="E22" i="8"/>
  <c r="D22" i="8"/>
  <c r="C22" i="8"/>
  <c r="E21" i="8"/>
  <c r="D21" i="8"/>
  <c r="C21" i="8"/>
  <c r="H21" i="8" s="1"/>
  <c r="E20" i="8"/>
  <c r="D20" i="8"/>
  <c r="C20" i="8"/>
  <c r="E19" i="8"/>
  <c r="D19" i="8"/>
  <c r="C19" i="8"/>
  <c r="H19" i="8" s="1"/>
  <c r="E18" i="8"/>
  <c r="D18" i="8"/>
  <c r="C18" i="8"/>
  <c r="G18" i="8" s="1"/>
  <c r="E17" i="8"/>
  <c r="D17" i="8"/>
  <c r="C17" i="8"/>
  <c r="H17" i="8" s="1"/>
  <c r="E16" i="8"/>
  <c r="D16" i="8"/>
  <c r="C16" i="8"/>
  <c r="G16" i="8" s="1"/>
  <c r="E15" i="8"/>
  <c r="D15" i="8"/>
  <c r="C15" i="8"/>
  <c r="I15" i="8" s="1"/>
  <c r="E14" i="8"/>
  <c r="D14" i="8"/>
  <c r="C14" i="8"/>
  <c r="E13" i="8"/>
  <c r="D13" i="8"/>
  <c r="C13" i="8"/>
  <c r="E12" i="8"/>
  <c r="D12" i="8"/>
  <c r="C12" i="8"/>
  <c r="G12" i="8" s="1"/>
  <c r="E11" i="8"/>
  <c r="D11" i="8"/>
  <c r="C11" i="8"/>
  <c r="E10" i="8"/>
  <c r="D10" i="8"/>
  <c r="C10" i="8"/>
  <c r="H10" i="8" s="1"/>
  <c r="E9" i="8"/>
  <c r="D9" i="8"/>
  <c r="C9" i="8"/>
  <c r="E8" i="8"/>
  <c r="D8" i="8"/>
  <c r="C8" i="8"/>
  <c r="I8" i="8" s="1"/>
  <c r="E7" i="8"/>
  <c r="D7" i="8"/>
  <c r="C7" i="8"/>
  <c r="I7" i="8" s="1"/>
  <c r="E6" i="8"/>
  <c r="D6" i="8"/>
  <c r="C6" i="8"/>
  <c r="I6" i="8" s="1"/>
  <c r="E5" i="8"/>
  <c r="D5" i="8"/>
  <c r="C5" i="8"/>
  <c r="I5" i="8" s="1"/>
  <c r="E4" i="8"/>
  <c r="D4" i="8"/>
  <c r="C4" i="8"/>
  <c r="E3" i="8"/>
  <c r="D3" i="8"/>
  <c r="C3" i="8"/>
  <c r="Q22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3" i="7"/>
  <c r="E28" i="7"/>
  <c r="D28" i="7"/>
  <c r="C28" i="7"/>
  <c r="I28" i="7" s="1"/>
  <c r="E27" i="7"/>
  <c r="D27" i="7"/>
  <c r="C27" i="7"/>
  <c r="G27" i="7" s="1"/>
  <c r="E26" i="7"/>
  <c r="D26" i="7"/>
  <c r="C26" i="7"/>
  <c r="I26" i="7" s="1"/>
  <c r="E25" i="7"/>
  <c r="D25" i="7"/>
  <c r="C25" i="7"/>
  <c r="G25" i="7" s="1"/>
  <c r="E24" i="7"/>
  <c r="D24" i="7"/>
  <c r="C24" i="7"/>
  <c r="I24" i="7" s="1"/>
  <c r="E23" i="7"/>
  <c r="D23" i="7"/>
  <c r="C23" i="7"/>
  <c r="G23" i="7" s="1"/>
  <c r="E22" i="7"/>
  <c r="D22" i="7"/>
  <c r="C22" i="7"/>
  <c r="I22" i="7" s="1"/>
  <c r="E21" i="7"/>
  <c r="D21" i="7"/>
  <c r="C21" i="7"/>
  <c r="E20" i="7"/>
  <c r="D20" i="7"/>
  <c r="C20" i="7"/>
  <c r="E19" i="7"/>
  <c r="D19" i="7"/>
  <c r="C19" i="7"/>
  <c r="E18" i="7"/>
  <c r="D18" i="7"/>
  <c r="C18" i="7"/>
  <c r="H18" i="7" s="1"/>
  <c r="E17" i="7"/>
  <c r="D17" i="7"/>
  <c r="C17" i="7"/>
  <c r="G17" i="7" s="1"/>
  <c r="E16" i="7"/>
  <c r="D16" i="7"/>
  <c r="C16" i="7"/>
  <c r="H16" i="7" s="1"/>
  <c r="E15" i="7"/>
  <c r="D15" i="7"/>
  <c r="C15" i="7"/>
  <c r="G15" i="7" s="1"/>
  <c r="E14" i="7"/>
  <c r="D14" i="7"/>
  <c r="C14" i="7"/>
  <c r="H14" i="7" s="1"/>
  <c r="E13" i="7"/>
  <c r="D13" i="7"/>
  <c r="C13" i="7"/>
  <c r="E12" i="7"/>
  <c r="D12" i="7"/>
  <c r="C12" i="7"/>
  <c r="G12" i="7" s="1"/>
  <c r="E11" i="7"/>
  <c r="D11" i="7"/>
  <c r="C11" i="7"/>
  <c r="E10" i="7"/>
  <c r="D10" i="7"/>
  <c r="C10" i="7"/>
  <c r="G10" i="7" s="1"/>
  <c r="E9" i="7"/>
  <c r="D9" i="7"/>
  <c r="C9" i="7"/>
  <c r="I9" i="7" s="1"/>
  <c r="E8" i="7"/>
  <c r="D8" i="7"/>
  <c r="C8" i="7"/>
  <c r="E7" i="7"/>
  <c r="D7" i="7"/>
  <c r="C7" i="7"/>
  <c r="I7" i="7" s="1"/>
  <c r="E6" i="7"/>
  <c r="D6" i="7"/>
  <c r="C6" i="7"/>
  <c r="E5" i="7"/>
  <c r="D5" i="7"/>
  <c r="C5" i="7"/>
  <c r="I5" i="7" s="1"/>
  <c r="E4" i="7"/>
  <c r="D4" i="7"/>
  <c r="C4" i="7"/>
  <c r="E3" i="7"/>
  <c r="D3" i="7"/>
  <c r="C3" i="7"/>
  <c r="I3" i="7" s="1"/>
  <c r="Q22" i="6"/>
  <c r="Q8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3" i="6"/>
  <c r="E28" i="6"/>
  <c r="D28" i="6"/>
  <c r="C28" i="6"/>
  <c r="G28" i="6" s="1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H14" i="6" s="1"/>
  <c r="E13" i="6"/>
  <c r="D13" i="6"/>
  <c r="C13" i="6"/>
  <c r="I13" i="6" s="1"/>
  <c r="E12" i="6"/>
  <c r="D12" i="6"/>
  <c r="C12" i="6"/>
  <c r="E11" i="6"/>
  <c r="D11" i="6"/>
  <c r="C11" i="6"/>
  <c r="E10" i="6"/>
  <c r="D10" i="6"/>
  <c r="C10" i="6"/>
  <c r="I10" i="6" s="1"/>
  <c r="E9" i="6"/>
  <c r="D9" i="6"/>
  <c r="C9" i="6"/>
  <c r="G9" i="6" s="1"/>
  <c r="E8" i="6"/>
  <c r="D8" i="6"/>
  <c r="C8" i="6"/>
  <c r="E7" i="6"/>
  <c r="D7" i="6"/>
  <c r="C7" i="6"/>
  <c r="G7" i="6" s="1"/>
  <c r="E6" i="6"/>
  <c r="D6" i="6"/>
  <c r="C6" i="6"/>
  <c r="E5" i="6"/>
  <c r="D5" i="6"/>
  <c r="C5" i="6"/>
  <c r="E4" i="6"/>
  <c r="D4" i="6"/>
  <c r="C4" i="6"/>
  <c r="H4" i="6" s="1"/>
  <c r="E3" i="6"/>
  <c r="D3" i="6"/>
  <c r="C3" i="6"/>
  <c r="G3" i="6" s="1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Q9" i="5"/>
  <c r="Q7" i="5"/>
  <c r="Q6" i="5"/>
  <c r="Q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3" i="5"/>
  <c r="E28" i="5"/>
  <c r="D28" i="5"/>
  <c r="C28" i="5"/>
  <c r="E27" i="5"/>
  <c r="D27" i="5"/>
  <c r="C27" i="5"/>
  <c r="G27" i="5" s="1"/>
  <c r="E26" i="5"/>
  <c r="D26" i="5"/>
  <c r="C26" i="5"/>
  <c r="G26" i="5" s="1"/>
  <c r="E25" i="5"/>
  <c r="D25" i="5"/>
  <c r="C25" i="5"/>
  <c r="G25" i="5" s="1"/>
  <c r="E24" i="5"/>
  <c r="D24" i="5"/>
  <c r="C24" i="5"/>
  <c r="G24" i="5" s="1"/>
  <c r="E23" i="5"/>
  <c r="D23" i="5"/>
  <c r="C23" i="5"/>
  <c r="G23" i="5" s="1"/>
  <c r="E22" i="5"/>
  <c r="D22" i="5"/>
  <c r="C22" i="5"/>
  <c r="G22" i="5" s="1"/>
  <c r="E21" i="5"/>
  <c r="D21" i="5"/>
  <c r="C21" i="5"/>
  <c r="G21" i="5" s="1"/>
  <c r="E20" i="5"/>
  <c r="D20" i="5"/>
  <c r="C20" i="5"/>
  <c r="I20" i="5" s="1"/>
  <c r="E19" i="5"/>
  <c r="D19" i="5"/>
  <c r="C19" i="5"/>
  <c r="G19" i="5" s="1"/>
  <c r="E18" i="5"/>
  <c r="D18" i="5"/>
  <c r="C18" i="5"/>
  <c r="G18" i="5" s="1"/>
  <c r="E17" i="5"/>
  <c r="D17" i="5"/>
  <c r="C17" i="5"/>
  <c r="E16" i="5"/>
  <c r="D16" i="5"/>
  <c r="C16" i="5"/>
  <c r="I16" i="5" s="1"/>
  <c r="E15" i="5"/>
  <c r="D15" i="5"/>
  <c r="C15" i="5"/>
  <c r="E14" i="5"/>
  <c r="D14" i="5"/>
  <c r="C14" i="5"/>
  <c r="H14" i="5" s="1"/>
  <c r="E13" i="5"/>
  <c r="D13" i="5"/>
  <c r="C13" i="5"/>
  <c r="G13" i="5" s="1"/>
  <c r="E12" i="5"/>
  <c r="D12" i="5"/>
  <c r="C12" i="5"/>
  <c r="H12" i="5" s="1"/>
  <c r="E11" i="5"/>
  <c r="D11" i="5"/>
  <c r="C11" i="5"/>
  <c r="I11" i="5" s="1"/>
  <c r="E10" i="5"/>
  <c r="D10" i="5"/>
  <c r="C10" i="5"/>
  <c r="I10" i="5" s="1"/>
  <c r="E9" i="5"/>
  <c r="D9" i="5"/>
  <c r="C9" i="5"/>
  <c r="G9" i="5" s="1"/>
  <c r="E8" i="5"/>
  <c r="D8" i="5"/>
  <c r="C8" i="5"/>
  <c r="G8" i="5" s="1"/>
  <c r="E7" i="5"/>
  <c r="D7" i="5"/>
  <c r="C7" i="5"/>
  <c r="G7" i="5" s="1"/>
  <c r="E6" i="5"/>
  <c r="D6" i="5"/>
  <c r="C6" i="5"/>
  <c r="E5" i="5"/>
  <c r="D5" i="5"/>
  <c r="C5" i="5"/>
  <c r="G5" i="5" s="1"/>
  <c r="E4" i="5"/>
  <c r="D4" i="5"/>
  <c r="C4" i="5"/>
  <c r="E3" i="5"/>
  <c r="D3" i="5"/>
  <c r="C3" i="5"/>
  <c r="I3" i="5" s="1"/>
  <c r="Q15" i="4"/>
  <c r="Q13" i="4"/>
  <c r="Q8" i="4"/>
  <c r="Q4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3" i="4"/>
  <c r="E28" i="4"/>
  <c r="D28" i="4"/>
  <c r="C28" i="4"/>
  <c r="I28" i="4" s="1"/>
  <c r="E27" i="4"/>
  <c r="D27" i="4"/>
  <c r="C27" i="4"/>
  <c r="E26" i="4"/>
  <c r="D26" i="4"/>
  <c r="C26" i="4"/>
  <c r="I26" i="4" s="1"/>
  <c r="E25" i="4"/>
  <c r="D25" i="4"/>
  <c r="C25" i="4"/>
  <c r="I25" i="4" s="1"/>
  <c r="E24" i="4"/>
  <c r="D24" i="4"/>
  <c r="C24" i="4"/>
  <c r="G24" i="4" s="1"/>
  <c r="E23" i="4"/>
  <c r="D23" i="4"/>
  <c r="C23" i="4"/>
  <c r="E22" i="4"/>
  <c r="D22" i="4"/>
  <c r="C22" i="4"/>
  <c r="G22" i="4" s="1"/>
  <c r="E21" i="4"/>
  <c r="D21" i="4"/>
  <c r="C21" i="4"/>
  <c r="I21" i="4" s="1"/>
  <c r="E20" i="4"/>
  <c r="D20" i="4"/>
  <c r="C20" i="4"/>
  <c r="I20" i="4" s="1"/>
  <c r="E19" i="4"/>
  <c r="D19" i="4"/>
  <c r="C19" i="4"/>
  <c r="E18" i="4"/>
  <c r="D18" i="4"/>
  <c r="C18" i="4"/>
  <c r="I18" i="4" s="1"/>
  <c r="E17" i="4"/>
  <c r="D17" i="4"/>
  <c r="C17" i="4"/>
  <c r="E16" i="4"/>
  <c r="D16" i="4"/>
  <c r="C16" i="4"/>
  <c r="I16" i="4" s="1"/>
  <c r="E15" i="4"/>
  <c r="D15" i="4"/>
  <c r="C15" i="4"/>
  <c r="E14" i="4"/>
  <c r="D14" i="4"/>
  <c r="C14" i="4"/>
  <c r="I14" i="4" s="1"/>
  <c r="E13" i="4"/>
  <c r="D13" i="4"/>
  <c r="C13" i="4"/>
  <c r="E12" i="4"/>
  <c r="D12" i="4"/>
  <c r="C12" i="4"/>
  <c r="I12" i="4" s="1"/>
  <c r="E11" i="4"/>
  <c r="D11" i="4"/>
  <c r="C11" i="4"/>
  <c r="E10" i="4"/>
  <c r="D10" i="4"/>
  <c r="C10" i="4"/>
  <c r="I10" i="4" s="1"/>
  <c r="E9" i="4"/>
  <c r="D9" i="4"/>
  <c r="C9" i="4"/>
  <c r="E8" i="4"/>
  <c r="D8" i="4"/>
  <c r="C8" i="4"/>
  <c r="E7" i="4"/>
  <c r="D7" i="4"/>
  <c r="C7" i="4"/>
  <c r="E6" i="4"/>
  <c r="D6" i="4"/>
  <c r="C6" i="4"/>
  <c r="I6" i="4" s="1"/>
  <c r="E5" i="4"/>
  <c r="D5" i="4"/>
  <c r="C5" i="4"/>
  <c r="E4" i="4"/>
  <c r="D4" i="4"/>
  <c r="C4" i="4"/>
  <c r="H4" i="4" s="1"/>
  <c r="E3" i="4"/>
  <c r="D3" i="4"/>
  <c r="C3" i="4"/>
  <c r="Q28" i="2"/>
  <c r="Q27" i="2"/>
  <c r="Q25" i="2"/>
  <c r="Q20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3" i="2"/>
  <c r="K23" i="2"/>
  <c r="K24" i="2"/>
  <c r="K25" i="2"/>
  <c r="K26" i="2"/>
  <c r="K27" i="2"/>
  <c r="K28" i="2"/>
  <c r="E28" i="2"/>
  <c r="D28" i="2"/>
  <c r="C28" i="2"/>
  <c r="E27" i="2"/>
  <c r="D27" i="2"/>
  <c r="C27" i="2"/>
  <c r="E26" i="2"/>
  <c r="D26" i="2"/>
  <c r="C26" i="2"/>
  <c r="E25" i="2"/>
  <c r="D25" i="2"/>
  <c r="C25" i="2"/>
  <c r="E24" i="2"/>
  <c r="D24" i="2"/>
  <c r="C24" i="2"/>
  <c r="E23" i="2"/>
  <c r="D23" i="2"/>
  <c r="C23" i="2"/>
  <c r="E22" i="2"/>
  <c r="D22" i="2"/>
  <c r="C22" i="2"/>
  <c r="G22" i="2" s="1"/>
  <c r="E21" i="2"/>
  <c r="D21" i="2"/>
  <c r="C21" i="2"/>
  <c r="I21" i="2" s="1"/>
  <c r="E20" i="2"/>
  <c r="D20" i="2"/>
  <c r="C20" i="2"/>
  <c r="G20" i="2" s="1"/>
  <c r="E19" i="2"/>
  <c r="D19" i="2"/>
  <c r="C19" i="2"/>
  <c r="I19" i="2" s="1"/>
  <c r="E18" i="2"/>
  <c r="D18" i="2"/>
  <c r="C18" i="2"/>
  <c r="G18" i="2" s="1"/>
  <c r="E17" i="2"/>
  <c r="D17" i="2"/>
  <c r="C17" i="2"/>
  <c r="I17" i="2" s="1"/>
  <c r="E16" i="2"/>
  <c r="D16" i="2"/>
  <c r="C16" i="2"/>
  <c r="G16" i="2" s="1"/>
  <c r="E15" i="2"/>
  <c r="D15" i="2"/>
  <c r="C15" i="2"/>
  <c r="I15" i="2" s="1"/>
  <c r="E14" i="2"/>
  <c r="D14" i="2"/>
  <c r="C14" i="2"/>
  <c r="G14" i="2" s="1"/>
  <c r="E13" i="2"/>
  <c r="D13" i="2"/>
  <c r="C13" i="2"/>
  <c r="I13" i="2" s="1"/>
  <c r="E12" i="2"/>
  <c r="D12" i="2"/>
  <c r="C12" i="2"/>
  <c r="H12" i="2" s="1"/>
  <c r="E11" i="2"/>
  <c r="D11" i="2"/>
  <c r="C11" i="2"/>
  <c r="G11" i="2" s="1"/>
  <c r="E10" i="2"/>
  <c r="D10" i="2"/>
  <c r="C10" i="2"/>
  <c r="E9" i="2"/>
  <c r="D9" i="2"/>
  <c r="C9" i="2"/>
  <c r="E8" i="2"/>
  <c r="D8" i="2"/>
  <c r="C8" i="2"/>
  <c r="E7" i="2"/>
  <c r="D7" i="2"/>
  <c r="C7" i="2"/>
  <c r="E6" i="2"/>
  <c r="D6" i="2"/>
  <c r="C6" i="2"/>
  <c r="E5" i="2"/>
  <c r="D5" i="2"/>
  <c r="C5" i="2"/>
  <c r="I5" i="2" s="1"/>
  <c r="E4" i="2"/>
  <c r="D4" i="2"/>
  <c r="C4" i="2"/>
  <c r="I4" i="2" s="1"/>
  <c r="E3" i="2"/>
  <c r="D3" i="2"/>
  <c r="C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3" i="1"/>
  <c r="H6" i="2" l="1"/>
  <c r="I6" i="2"/>
  <c r="G8" i="2"/>
  <c r="H8" i="2"/>
  <c r="I10" i="2"/>
  <c r="G10" i="2"/>
  <c r="H14" i="2"/>
  <c r="H16" i="2"/>
  <c r="H18" i="2"/>
  <c r="H20" i="2"/>
  <c r="H22" i="2"/>
  <c r="G26" i="2"/>
  <c r="H26" i="2"/>
  <c r="G28" i="2"/>
  <c r="I28" i="2"/>
  <c r="H28" i="2"/>
  <c r="H27" i="4"/>
  <c r="I27" i="4"/>
  <c r="H4" i="5"/>
  <c r="G4" i="5"/>
  <c r="H9" i="5"/>
  <c r="I14" i="5"/>
  <c r="H15" i="5"/>
  <c r="I17" i="5"/>
  <c r="G17" i="5"/>
  <c r="G28" i="5"/>
  <c r="I28" i="5"/>
  <c r="I17" i="6"/>
  <c r="I21" i="6"/>
  <c r="G21" i="6"/>
  <c r="H21" i="6"/>
  <c r="H4" i="7"/>
  <c r="G4" i="7"/>
  <c r="I4" i="7"/>
  <c r="H6" i="7"/>
  <c r="G6" i="7"/>
  <c r="I6" i="7"/>
  <c r="H8" i="7"/>
  <c r="G8" i="7"/>
  <c r="I8" i="7"/>
  <c r="H11" i="7"/>
  <c r="I11" i="7"/>
  <c r="I13" i="7"/>
  <c r="H13" i="7"/>
  <c r="G13" i="7"/>
  <c r="H15" i="7"/>
  <c r="H17" i="7"/>
  <c r="I18" i="7"/>
  <c r="H20" i="7"/>
  <c r="G20" i="7"/>
  <c r="I20" i="7"/>
  <c r="H6" i="8"/>
  <c r="H11" i="8"/>
  <c r="I11" i="8"/>
  <c r="G11" i="8"/>
  <c r="I12" i="8"/>
  <c r="H13" i="8"/>
  <c r="G13" i="8"/>
  <c r="H14" i="8"/>
  <c r="G14" i="8"/>
  <c r="I18" i="8"/>
  <c r="G24" i="8"/>
  <c r="I24" i="8"/>
  <c r="H24" i="8"/>
  <c r="I26" i="8"/>
  <c r="H26" i="8"/>
  <c r="G26" i="8"/>
  <c r="G28" i="8"/>
  <c r="H28" i="8"/>
  <c r="I28" i="8"/>
  <c r="G5" i="9"/>
  <c r="H5" i="9"/>
  <c r="H7" i="9"/>
  <c r="G7" i="9"/>
  <c r="H11" i="9"/>
  <c r="I11" i="9"/>
  <c r="H13" i="9"/>
  <c r="G13" i="9"/>
  <c r="I13" i="9"/>
  <c r="I15" i="9"/>
  <c r="G15" i="9"/>
  <c r="H20" i="9"/>
  <c r="I20" i="9"/>
  <c r="I22" i="9"/>
  <c r="G22" i="9"/>
  <c r="I24" i="9"/>
  <c r="G24" i="9"/>
  <c r="I25" i="9"/>
  <c r="G25" i="9"/>
  <c r="I26" i="9"/>
  <c r="I7" i="2"/>
  <c r="I8" i="2"/>
  <c r="H10" i="2"/>
  <c r="I26" i="2"/>
  <c r="H13" i="5"/>
  <c r="H17" i="5"/>
  <c r="H7" i="6"/>
  <c r="H12" i="6"/>
  <c r="I15" i="6"/>
  <c r="I4" i="9"/>
  <c r="I5" i="9"/>
  <c r="H15" i="9"/>
  <c r="G17" i="9"/>
  <c r="H22" i="9"/>
  <c r="I9" i="2"/>
  <c r="I25" i="2"/>
  <c r="I27" i="2"/>
  <c r="I8" i="4"/>
  <c r="H11" i="5"/>
  <c r="I7" i="6"/>
  <c r="G6" i="8"/>
  <c r="I10" i="8"/>
  <c r="I13" i="8"/>
  <c r="G15" i="8"/>
  <c r="I25" i="8"/>
  <c r="H17" i="9"/>
  <c r="I12" i="2"/>
  <c r="I4" i="4"/>
  <c r="H22" i="4"/>
  <c r="H24" i="4"/>
  <c r="G26" i="4"/>
  <c r="I23" i="6"/>
  <c r="G24" i="7"/>
  <c r="I3" i="8"/>
  <c r="G8" i="8"/>
  <c r="G17" i="8"/>
  <c r="I19" i="8"/>
  <c r="I21" i="8"/>
  <c r="I16" i="9"/>
  <c r="I23" i="9"/>
  <c r="H24" i="9"/>
  <c r="I23" i="2"/>
  <c r="I22" i="4"/>
  <c r="I24" i="4"/>
  <c r="H24" i="7"/>
  <c r="G26" i="7"/>
  <c r="G5" i="8"/>
  <c r="H8" i="8"/>
  <c r="G10" i="8"/>
  <c r="I14" i="8"/>
  <c r="I17" i="8"/>
  <c r="G19" i="8"/>
  <c r="G21" i="8"/>
  <c r="G4" i="9"/>
  <c r="I18" i="9"/>
  <c r="G21" i="9"/>
  <c r="G4" i="2"/>
  <c r="G4" i="4"/>
  <c r="G6" i="4"/>
  <c r="G8" i="4"/>
  <c r="G10" i="4"/>
  <c r="G12" i="4"/>
  <c r="G14" i="4"/>
  <c r="G16" i="4"/>
  <c r="G18" i="4"/>
  <c r="I23" i="4"/>
  <c r="I4" i="5"/>
  <c r="H5" i="5"/>
  <c r="H7" i="5"/>
  <c r="H10" i="5"/>
  <c r="H18" i="5"/>
  <c r="G20" i="5"/>
  <c r="I19" i="6"/>
  <c r="I28" i="6"/>
  <c r="G9" i="7"/>
  <c r="I14" i="7"/>
  <c r="I16" i="7"/>
  <c r="G18" i="7"/>
  <c r="H26" i="7"/>
  <c r="G28" i="7"/>
  <c r="H5" i="8"/>
  <c r="I16" i="8"/>
  <c r="H26" i="9"/>
  <c r="H28" i="9"/>
  <c r="H4" i="2"/>
  <c r="G6" i="2"/>
  <c r="H11" i="2"/>
  <c r="H6" i="4"/>
  <c r="H8" i="4"/>
  <c r="H10" i="4"/>
  <c r="H12" i="4"/>
  <c r="H14" i="4"/>
  <c r="H16" i="4"/>
  <c r="H18" i="4"/>
  <c r="I5" i="5"/>
  <c r="I7" i="5"/>
  <c r="G14" i="5"/>
  <c r="I18" i="5"/>
  <c r="H20" i="5"/>
  <c r="H22" i="5"/>
  <c r="H24" i="5"/>
  <c r="H26" i="5"/>
  <c r="H28" i="5"/>
  <c r="H9" i="7"/>
  <c r="G11" i="7"/>
  <c r="I15" i="7"/>
  <c r="I17" i="7"/>
  <c r="H28" i="7"/>
  <c r="I4" i="8"/>
  <c r="I9" i="8"/>
  <c r="I20" i="8"/>
  <c r="I22" i="8"/>
  <c r="I3" i="9"/>
  <c r="I7" i="9"/>
  <c r="G11" i="9"/>
  <c r="G20" i="9"/>
  <c r="G23" i="9"/>
  <c r="I28" i="9"/>
  <c r="I3" i="2"/>
  <c r="I11" i="2"/>
  <c r="I14" i="2"/>
  <c r="I16" i="2"/>
  <c r="I18" i="2"/>
  <c r="I20" i="2"/>
  <c r="I22" i="2"/>
  <c r="I24" i="2"/>
  <c r="I3" i="4"/>
  <c r="I5" i="4"/>
  <c r="I7" i="4"/>
  <c r="I9" i="4"/>
  <c r="I11" i="4"/>
  <c r="I13" i="4"/>
  <c r="I15" i="4"/>
  <c r="I17" i="4"/>
  <c r="I19" i="4"/>
  <c r="I6" i="5"/>
  <c r="I12" i="5"/>
  <c r="I15" i="5"/>
  <c r="I22" i="5"/>
  <c r="I24" i="5"/>
  <c r="I26" i="5"/>
  <c r="I19" i="7"/>
  <c r="I21" i="7"/>
  <c r="H15" i="8"/>
  <c r="I19" i="9"/>
  <c r="I27" i="9"/>
  <c r="I6" i="9"/>
  <c r="I8" i="9"/>
  <c r="G27" i="9"/>
  <c r="G3" i="9"/>
  <c r="H4" i="9"/>
  <c r="G10" i="9"/>
  <c r="G12" i="9"/>
  <c r="G14" i="9"/>
  <c r="G16" i="9"/>
  <c r="G18" i="9"/>
  <c r="H19" i="9"/>
  <c r="H21" i="9"/>
  <c r="H23" i="9"/>
  <c r="H25" i="9"/>
  <c r="H27" i="9"/>
  <c r="H3" i="9"/>
  <c r="G9" i="9"/>
  <c r="H10" i="9"/>
  <c r="H12" i="9"/>
  <c r="H14" i="9"/>
  <c r="H16" i="9"/>
  <c r="H18" i="9"/>
  <c r="G6" i="9"/>
  <c r="G8" i="9"/>
  <c r="H9" i="9"/>
  <c r="K6" i="7"/>
  <c r="H6" i="6"/>
  <c r="H8" i="6"/>
  <c r="H17" i="6"/>
  <c r="I25" i="6"/>
  <c r="H10" i="6"/>
  <c r="G19" i="6"/>
  <c r="I11" i="6"/>
  <c r="H19" i="6"/>
  <c r="I18" i="6"/>
  <c r="G23" i="6"/>
  <c r="H28" i="6"/>
  <c r="I14" i="6"/>
  <c r="I20" i="6"/>
  <c r="I24" i="6"/>
  <c r="I5" i="6"/>
  <c r="I3" i="6"/>
  <c r="I12" i="6"/>
  <c r="I22" i="6"/>
  <c r="I27" i="6"/>
  <c r="G4" i="6"/>
  <c r="G6" i="6"/>
  <c r="H23" i="6"/>
  <c r="G15" i="6"/>
  <c r="G25" i="6"/>
  <c r="G8" i="6"/>
  <c r="H15" i="6"/>
  <c r="H25" i="6"/>
  <c r="I8" i="6"/>
  <c r="G17" i="6"/>
  <c r="H9" i="6"/>
  <c r="G10" i="6"/>
  <c r="G12" i="6"/>
  <c r="G14" i="6"/>
  <c r="I16" i="6"/>
  <c r="I26" i="6"/>
  <c r="I4" i="6"/>
  <c r="I6" i="6"/>
  <c r="I9" i="6"/>
  <c r="G7" i="8"/>
  <c r="G9" i="8"/>
  <c r="H12" i="8"/>
  <c r="H16" i="8"/>
  <c r="H18" i="8"/>
  <c r="G4" i="8"/>
  <c r="H7" i="8"/>
  <c r="H9" i="8"/>
  <c r="G23" i="8"/>
  <c r="G25" i="8"/>
  <c r="G27" i="8"/>
  <c r="G3" i="8"/>
  <c r="H4" i="8"/>
  <c r="G20" i="8"/>
  <c r="G22" i="8"/>
  <c r="H23" i="8"/>
  <c r="H25" i="8"/>
  <c r="H27" i="8"/>
  <c r="H3" i="8"/>
  <c r="H20" i="8"/>
  <c r="H22" i="8"/>
  <c r="G3" i="7"/>
  <c r="G5" i="7"/>
  <c r="G7" i="7"/>
  <c r="H10" i="7"/>
  <c r="H12" i="7"/>
  <c r="G22" i="7"/>
  <c r="H23" i="7"/>
  <c r="H25" i="7"/>
  <c r="H27" i="7"/>
  <c r="H3" i="7"/>
  <c r="H5" i="7"/>
  <c r="H7" i="7"/>
  <c r="I10" i="7"/>
  <c r="I12" i="7"/>
  <c r="G19" i="7"/>
  <c r="G21" i="7"/>
  <c r="H22" i="7"/>
  <c r="I23" i="7"/>
  <c r="I25" i="7"/>
  <c r="I27" i="7"/>
  <c r="G14" i="7"/>
  <c r="G16" i="7"/>
  <c r="H19" i="7"/>
  <c r="H21" i="7"/>
  <c r="H3" i="6"/>
  <c r="G27" i="6"/>
  <c r="G5" i="6"/>
  <c r="G16" i="6"/>
  <c r="G18" i="6"/>
  <c r="G20" i="6"/>
  <c r="G22" i="6"/>
  <c r="G24" i="6"/>
  <c r="G26" i="6"/>
  <c r="H27" i="6"/>
  <c r="H5" i="6"/>
  <c r="G11" i="6"/>
  <c r="G13" i="6"/>
  <c r="H16" i="6"/>
  <c r="H18" i="6"/>
  <c r="H20" i="6"/>
  <c r="H22" i="6"/>
  <c r="H24" i="6"/>
  <c r="H26" i="6"/>
  <c r="H11" i="6"/>
  <c r="H13" i="6"/>
  <c r="G11" i="5"/>
  <c r="G3" i="5"/>
  <c r="H6" i="5"/>
  <c r="H8" i="5"/>
  <c r="I9" i="5"/>
  <c r="I13" i="5"/>
  <c r="G16" i="5"/>
  <c r="H19" i="5"/>
  <c r="H21" i="5"/>
  <c r="H23" i="5"/>
  <c r="H25" i="5"/>
  <c r="H27" i="5"/>
  <c r="G6" i="5"/>
  <c r="H3" i="5"/>
  <c r="I8" i="5"/>
  <c r="G15" i="5"/>
  <c r="H16" i="5"/>
  <c r="I19" i="5"/>
  <c r="I21" i="5"/>
  <c r="I23" i="5"/>
  <c r="I25" i="5"/>
  <c r="I27" i="5"/>
  <c r="G10" i="5"/>
  <c r="G12" i="5"/>
  <c r="G21" i="4"/>
  <c r="G23" i="4"/>
  <c r="G25" i="4"/>
  <c r="H26" i="4"/>
  <c r="G20" i="4"/>
  <c r="H21" i="4"/>
  <c r="H23" i="4"/>
  <c r="H25" i="4"/>
  <c r="G3" i="4"/>
  <c r="G5" i="4"/>
  <c r="G7" i="4"/>
  <c r="G9" i="4"/>
  <c r="G11" i="4"/>
  <c r="G13" i="4"/>
  <c r="G15" i="4"/>
  <c r="G17" i="4"/>
  <c r="G19" i="4"/>
  <c r="H20" i="4"/>
  <c r="G28" i="4"/>
  <c r="H3" i="4"/>
  <c r="H5" i="4"/>
  <c r="H7" i="4"/>
  <c r="H9" i="4"/>
  <c r="H11" i="4"/>
  <c r="H13" i="4"/>
  <c r="H15" i="4"/>
  <c r="H17" i="4"/>
  <c r="H19" i="4"/>
  <c r="G27" i="4"/>
  <c r="H28" i="4"/>
  <c r="G25" i="2"/>
  <c r="G27" i="2"/>
  <c r="G3" i="2"/>
  <c r="G5" i="2"/>
  <c r="G7" i="2"/>
  <c r="G9" i="2"/>
  <c r="G24" i="2"/>
  <c r="H25" i="2"/>
  <c r="H27" i="2"/>
  <c r="H3" i="2"/>
  <c r="H5" i="2"/>
  <c r="H7" i="2"/>
  <c r="H9" i="2"/>
  <c r="G13" i="2"/>
  <c r="G15" i="2"/>
  <c r="G17" i="2"/>
  <c r="G19" i="2"/>
  <c r="G21" i="2"/>
  <c r="G23" i="2"/>
  <c r="H24" i="2"/>
  <c r="G12" i="2"/>
  <c r="H13" i="2"/>
  <c r="H15" i="2"/>
  <c r="H17" i="2"/>
  <c r="H19" i="2"/>
  <c r="H21" i="2"/>
  <c r="H23" i="2"/>
  <c r="Q23" i="1"/>
  <c r="Q24" i="1"/>
  <c r="Q12" i="1"/>
  <c r="Q11" i="1"/>
  <c r="Q10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3" i="1"/>
  <c r="J3" i="1"/>
  <c r="N3" i="1" s="1"/>
  <c r="J3" i="2" s="1"/>
  <c r="N3" i="2" s="1"/>
  <c r="J3" i="4" s="1"/>
  <c r="N3" i="4" s="1"/>
  <c r="J3" i="5" s="1"/>
  <c r="N3" i="5" s="1"/>
  <c r="J3" i="6" s="1"/>
  <c r="N3" i="6" s="1"/>
  <c r="J3" i="7" s="1"/>
  <c r="N3" i="7" s="1"/>
  <c r="J3" i="8" s="1"/>
  <c r="N3" i="8" s="1"/>
  <c r="J3" i="9" s="1"/>
  <c r="N3" i="9" s="1"/>
  <c r="J4" i="1"/>
  <c r="J5" i="1"/>
  <c r="N5" i="1" s="1"/>
  <c r="J5" i="2" s="1"/>
  <c r="N5" i="2" s="1"/>
  <c r="J5" i="4" s="1"/>
  <c r="N5" i="4" s="1"/>
  <c r="J5" i="5" s="1"/>
  <c r="J6" i="1"/>
  <c r="J7" i="1"/>
  <c r="N7" i="1" s="1"/>
  <c r="J7" i="2" s="1"/>
  <c r="N7" i="2" s="1"/>
  <c r="J7" i="4" s="1"/>
  <c r="N7" i="4" s="1"/>
  <c r="J7" i="5" s="1"/>
  <c r="J8" i="1"/>
  <c r="J9" i="1"/>
  <c r="J10" i="1"/>
  <c r="N10" i="1" s="1"/>
  <c r="J10" i="2" s="1"/>
  <c r="N10" i="2" s="1"/>
  <c r="J10" i="4" s="1"/>
  <c r="N10" i="4" s="1"/>
  <c r="J10" i="5" s="1"/>
  <c r="J11" i="1"/>
  <c r="N11" i="1" s="1"/>
  <c r="J11" i="2" s="1"/>
  <c r="N11" i="2" s="1"/>
  <c r="J11" i="4" s="1"/>
  <c r="N11" i="4" s="1"/>
  <c r="J11" i="5" s="1"/>
  <c r="N11" i="5" s="1"/>
  <c r="J11" i="6" s="1"/>
  <c r="N11" i="6" s="1"/>
  <c r="J11" i="7" s="1"/>
  <c r="N11" i="7" s="1"/>
  <c r="J11" i="8" s="1"/>
  <c r="N11" i="8" s="1"/>
  <c r="J11" i="9" s="1"/>
  <c r="N11" i="9" s="1"/>
  <c r="J12" i="1"/>
  <c r="J13" i="1"/>
  <c r="N13" i="1" s="1"/>
  <c r="J13" i="2" s="1"/>
  <c r="N13" i="2" s="1"/>
  <c r="J13" i="4" s="1"/>
  <c r="N13" i="4" s="1"/>
  <c r="J13" i="5" s="1"/>
  <c r="J14" i="1"/>
  <c r="J15" i="1"/>
  <c r="J16" i="1"/>
  <c r="J17" i="1"/>
  <c r="J18" i="1"/>
  <c r="N18" i="1" s="1"/>
  <c r="J18" i="2" s="1"/>
  <c r="N18" i="2" s="1"/>
  <c r="J18" i="4" s="1"/>
  <c r="N18" i="4" s="1"/>
  <c r="J18" i="5" s="1"/>
  <c r="J19" i="1"/>
  <c r="N19" i="1" s="1"/>
  <c r="J19" i="2" s="1"/>
  <c r="N19" i="2" s="1"/>
  <c r="J19" i="4" s="1"/>
  <c r="N19" i="4" s="1"/>
  <c r="J19" i="5" s="1"/>
  <c r="J20" i="1"/>
  <c r="N20" i="1" s="1"/>
  <c r="J20" i="2" s="1"/>
  <c r="N20" i="2" s="1"/>
  <c r="J20" i="4" s="1"/>
  <c r="N20" i="4" s="1"/>
  <c r="J20" i="5" s="1"/>
  <c r="J21" i="1"/>
  <c r="N21" i="1" s="1"/>
  <c r="J21" i="2" s="1"/>
  <c r="N21" i="2" s="1"/>
  <c r="J21" i="4" s="1"/>
  <c r="N21" i="4" s="1"/>
  <c r="J21" i="5" s="1"/>
  <c r="J22" i="1"/>
  <c r="J23" i="1"/>
  <c r="N23" i="1" s="1"/>
  <c r="J23" i="2" s="1"/>
  <c r="J24" i="1"/>
  <c r="J25" i="1"/>
  <c r="J26" i="1"/>
  <c r="N26" i="1" s="1"/>
  <c r="J26" i="2" s="1"/>
  <c r="N26" i="2" s="1"/>
  <c r="J26" i="4" s="1"/>
  <c r="N26" i="4" s="1"/>
  <c r="J26" i="5" s="1"/>
  <c r="J27" i="1"/>
  <c r="N27" i="1" s="1"/>
  <c r="J27" i="2" s="1"/>
  <c r="N27" i="2" s="1"/>
  <c r="J27" i="4" s="1"/>
  <c r="N27" i="4" s="1"/>
  <c r="J27" i="5" s="1"/>
  <c r="N27" i="5" s="1"/>
  <c r="J27" i="6" s="1"/>
  <c r="N27" i="6" s="1"/>
  <c r="J27" i="7" s="1"/>
  <c r="N27" i="7" s="1"/>
  <c r="J27" i="8" s="1"/>
  <c r="N27" i="8" s="1"/>
  <c r="J27" i="9" s="1"/>
  <c r="N27" i="9" s="1"/>
  <c r="J28" i="1"/>
  <c r="K19" i="4"/>
  <c r="K19" i="2"/>
  <c r="K21" i="4"/>
  <c r="K21" i="2"/>
  <c r="K23" i="4"/>
  <c r="K24" i="4"/>
  <c r="K25" i="4"/>
  <c r="K26" i="4"/>
  <c r="K27" i="4"/>
  <c r="K28" i="4"/>
  <c r="K22" i="4"/>
  <c r="K20" i="4"/>
  <c r="K4" i="2"/>
  <c r="K4" i="4"/>
  <c r="K5" i="2"/>
  <c r="K5" i="4"/>
  <c r="K6" i="2"/>
  <c r="K6" i="4"/>
  <c r="K7" i="2"/>
  <c r="K7" i="4"/>
  <c r="K8" i="2"/>
  <c r="K8" i="4"/>
  <c r="K9" i="2"/>
  <c r="K9" i="4"/>
  <c r="K10" i="2"/>
  <c r="K10" i="4"/>
  <c r="K11" i="2"/>
  <c r="K11" i="4"/>
  <c r="K12" i="2"/>
  <c r="K12" i="4"/>
  <c r="K13" i="2"/>
  <c r="K13" i="4"/>
  <c r="K14" i="2"/>
  <c r="K14" i="4"/>
  <c r="K15" i="2"/>
  <c r="K15" i="4"/>
  <c r="K16" i="2"/>
  <c r="K16" i="4"/>
  <c r="K17" i="2"/>
  <c r="K17" i="4"/>
  <c r="K18" i="2"/>
  <c r="K18" i="4"/>
  <c r="K3" i="4"/>
  <c r="K22" i="2"/>
  <c r="K20" i="2"/>
  <c r="K3" i="2"/>
  <c r="M10" i="4" l="1"/>
  <c r="O10" i="4" s="1"/>
  <c r="M20" i="2"/>
  <c r="M20" i="4"/>
  <c r="O20" i="4" s="1"/>
  <c r="M24" i="1"/>
  <c r="M8" i="1"/>
  <c r="M13" i="2"/>
  <c r="M5" i="2"/>
  <c r="O5" i="2" s="1"/>
  <c r="M16" i="1"/>
  <c r="M15" i="1"/>
  <c r="M5" i="4"/>
  <c r="O5" i="4" s="1"/>
  <c r="M25" i="1"/>
  <c r="M17" i="1"/>
  <c r="M9" i="1"/>
  <c r="M5" i="1"/>
  <c r="M11" i="4"/>
  <c r="M21" i="2"/>
  <c r="O21" i="2" s="1"/>
  <c r="M21" i="4"/>
  <c r="O21" i="4" s="1"/>
  <c r="M13" i="1"/>
  <c r="M3" i="2"/>
  <c r="O3" i="2" s="1"/>
  <c r="M22" i="1"/>
  <c r="M14" i="1"/>
  <c r="M6" i="1"/>
  <c r="N25" i="1"/>
  <c r="J25" i="2" s="1"/>
  <c r="N25" i="2" s="1"/>
  <c r="J25" i="4" s="1"/>
  <c r="N25" i="4" s="1"/>
  <c r="J25" i="5" s="1"/>
  <c r="M25" i="5" s="1"/>
  <c r="O25" i="5" s="1"/>
  <c r="M11" i="7"/>
  <c r="O11" i="7" s="1"/>
  <c r="M3" i="4"/>
  <c r="O3" i="4" s="1"/>
  <c r="M11" i="2"/>
  <c r="M27" i="4"/>
  <c r="O27" i="4" s="1"/>
  <c r="M27" i="2"/>
  <c r="P27" i="2" s="1"/>
  <c r="S27" i="2" s="1"/>
  <c r="N23" i="2"/>
  <c r="J23" i="4" s="1"/>
  <c r="N23" i="4" s="1"/>
  <c r="J23" i="5" s="1"/>
  <c r="M23" i="2"/>
  <c r="O23" i="2" s="1"/>
  <c r="N7" i="5"/>
  <c r="J7" i="6" s="1"/>
  <c r="M7" i="5"/>
  <c r="O7" i="5" s="1"/>
  <c r="N26" i="5"/>
  <c r="J26" i="6" s="1"/>
  <c r="M26" i="5"/>
  <c r="O26" i="5" s="1"/>
  <c r="N10" i="5"/>
  <c r="J10" i="6" s="1"/>
  <c r="M10" i="5"/>
  <c r="O10" i="5" s="1"/>
  <c r="N15" i="1"/>
  <c r="J15" i="2" s="1"/>
  <c r="N15" i="2" s="1"/>
  <c r="J15" i="4" s="1"/>
  <c r="N15" i="4" s="1"/>
  <c r="J15" i="5" s="1"/>
  <c r="M27" i="5"/>
  <c r="O27" i="5" s="1"/>
  <c r="M13" i="4"/>
  <c r="O13" i="4" s="1"/>
  <c r="M7" i="1"/>
  <c r="N9" i="1"/>
  <c r="J9" i="2" s="1"/>
  <c r="N9" i="2" s="1"/>
  <c r="J9" i="4" s="1"/>
  <c r="N9" i="4" s="1"/>
  <c r="J9" i="5" s="1"/>
  <c r="M26" i="2"/>
  <c r="O26" i="2" s="1"/>
  <c r="M11" i="6"/>
  <c r="O11" i="6" s="1"/>
  <c r="M27" i="6"/>
  <c r="O27" i="6" s="1"/>
  <c r="M18" i="4"/>
  <c r="O18" i="4" s="1"/>
  <c r="M10" i="2"/>
  <c r="M27" i="8"/>
  <c r="O27" i="8" s="1"/>
  <c r="M11" i="9"/>
  <c r="O11" i="9" s="1"/>
  <c r="M18" i="2"/>
  <c r="O18" i="2" s="1"/>
  <c r="M19" i="2"/>
  <c r="O19" i="2" s="1"/>
  <c r="M3" i="1"/>
  <c r="N24" i="1"/>
  <c r="J24" i="2" s="1"/>
  <c r="M3" i="6"/>
  <c r="M3" i="9"/>
  <c r="M7" i="4"/>
  <c r="O7" i="4" s="1"/>
  <c r="M21" i="5"/>
  <c r="O21" i="5" s="1"/>
  <c r="N21" i="5"/>
  <c r="J21" i="6" s="1"/>
  <c r="M13" i="5"/>
  <c r="O13" i="5" s="1"/>
  <c r="N13" i="5"/>
  <c r="J13" i="6" s="1"/>
  <c r="M5" i="5"/>
  <c r="O5" i="5" s="1"/>
  <c r="N5" i="5"/>
  <c r="J5" i="6" s="1"/>
  <c r="M23" i="1"/>
  <c r="N8" i="1"/>
  <c r="J8" i="2" s="1"/>
  <c r="N8" i="2" s="1"/>
  <c r="J8" i="4" s="1"/>
  <c r="N8" i="4" s="1"/>
  <c r="J8" i="5" s="1"/>
  <c r="M7" i="2"/>
  <c r="O7" i="2" s="1"/>
  <c r="M26" i="4"/>
  <c r="M19" i="4"/>
  <c r="O19" i="4" s="1"/>
  <c r="M28" i="1"/>
  <c r="M20" i="5"/>
  <c r="O20" i="5" s="1"/>
  <c r="N20" i="5"/>
  <c r="J20" i="6" s="1"/>
  <c r="M12" i="1"/>
  <c r="M4" i="1"/>
  <c r="M21" i="1"/>
  <c r="N17" i="1"/>
  <c r="J17" i="2" s="1"/>
  <c r="N17" i="2" s="1"/>
  <c r="J17" i="4" s="1"/>
  <c r="N17" i="4" s="1"/>
  <c r="J17" i="5" s="1"/>
  <c r="M3" i="7"/>
  <c r="O3" i="7" s="1"/>
  <c r="M11" i="8"/>
  <c r="O11" i="8" s="1"/>
  <c r="M27" i="9"/>
  <c r="O27" i="9" s="1"/>
  <c r="M19" i="5"/>
  <c r="O19" i="5" s="1"/>
  <c r="N19" i="5"/>
  <c r="J19" i="6" s="1"/>
  <c r="N16" i="1"/>
  <c r="J16" i="2" s="1"/>
  <c r="N16" i="2" s="1"/>
  <c r="J16" i="4" s="1"/>
  <c r="N16" i="4" s="1"/>
  <c r="J16" i="5" s="1"/>
  <c r="M27" i="7"/>
  <c r="O27" i="7" s="1"/>
  <c r="M3" i="8"/>
  <c r="O3" i="8" s="1"/>
  <c r="M11" i="5"/>
  <c r="O11" i="5" s="1"/>
  <c r="M3" i="5"/>
  <c r="O3" i="5" s="1"/>
  <c r="N18" i="5"/>
  <c r="J18" i="6" s="1"/>
  <c r="M18" i="5"/>
  <c r="O18" i="5" s="1"/>
  <c r="O20" i="2"/>
  <c r="P20" i="2"/>
  <c r="S20" i="2" s="1"/>
  <c r="O11" i="4"/>
  <c r="O10" i="2"/>
  <c r="O11" i="2"/>
  <c r="M27" i="1"/>
  <c r="M19" i="1"/>
  <c r="M11" i="1"/>
  <c r="M20" i="1"/>
  <c r="N22" i="1"/>
  <c r="J22" i="2" s="1"/>
  <c r="N22" i="2" s="1"/>
  <c r="J22" i="4" s="1"/>
  <c r="N22" i="4" s="1"/>
  <c r="J22" i="5" s="1"/>
  <c r="M26" i="1"/>
  <c r="M18" i="1"/>
  <c r="M10" i="1"/>
  <c r="N28" i="1"/>
  <c r="J28" i="2" s="1"/>
  <c r="N12" i="1"/>
  <c r="J12" i="2" s="1"/>
  <c r="N12" i="2" s="1"/>
  <c r="J12" i="4" s="1"/>
  <c r="N12" i="4" s="1"/>
  <c r="J12" i="5" s="1"/>
  <c r="N4" i="1"/>
  <c r="J4" i="2" s="1"/>
  <c r="N4" i="2" s="1"/>
  <c r="J4" i="4" s="1"/>
  <c r="N4" i="4" s="1"/>
  <c r="J4" i="5" s="1"/>
  <c r="N14" i="1"/>
  <c r="J14" i="2" s="1"/>
  <c r="N14" i="2" s="1"/>
  <c r="J14" i="4" s="1"/>
  <c r="N14" i="4" s="1"/>
  <c r="J14" i="5" s="1"/>
  <c r="N6" i="1"/>
  <c r="J6" i="2" s="1"/>
  <c r="N6" i="2" s="1"/>
  <c r="J6" i="4" s="1"/>
  <c r="N6" i="4" s="1"/>
  <c r="J6" i="5" s="1"/>
  <c r="O26" i="4" l="1"/>
  <c r="P26" i="4"/>
  <c r="S26" i="4" s="1"/>
  <c r="O3" i="9"/>
  <c r="P3" i="9"/>
  <c r="S3" i="9" s="1"/>
  <c r="O13" i="2"/>
  <c r="P13" i="2"/>
  <c r="S13" i="2" s="1"/>
  <c r="N25" i="5"/>
  <c r="J25" i="6" s="1"/>
  <c r="M9" i="2"/>
  <c r="O9" i="2" s="1"/>
  <c r="P7" i="5"/>
  <c r="S7" i="5" s="1"/>
  <c r="O27" i="2"/>
  <c r="M9" i="4"/>
  <c r="O9" i="4" s="1"/>
  <c r="M25" i="2"/>
  <c r="O25" i="2" s="1"/>
  <c r="M8" i="4"/>
  <c r="M15" i="2"/>
  <c r="O15" i="2" s="1"/>
  <c r="M14" i="4"/>
  <c r="O14" i="4" s="1"/>
  <c r="M14" i="2"/>
  <c r="O14" i="2" s="1"/>
  <c r="P13" i="4"/>
  <c r="S13" i="4" s="1"/>
  <c r="M25" i="4"/>
  <c r="O25" i="4" s="1"/>
  <c r="M15" i="4"/>
  <c r="M22" i="4"/>
  <c r="O22" i="4" s="1"/>
  <c r="M23" i="4"/>
  <c r="O23" i="4" s="1"/>
  <c r="M12" i="5"/>
  <c r="O12" i="5" s="1"/>
  <c r="N12" i="5"/>
  <c r="J12" i="6" s="1"/>
  <c r="M6" i="2"/>
  <c r="O6" i="2" s="1"/>
  <c r="M12" i="4"/>
  <c r="O12" i="4" s="1"/>
  <c r="M4" i="2"/>
  <c r="O4" i="2" s="1"/>
  <c r="N26" i="6"/>
  <c r="J26" i="7" s="1"/>
  <c r="M26" i="6"/>
  <c r="O26" i="6" s="1"/>
  <c r="M16" i="2"/>
  <c r="O16" i="2" s="1"/>
  <c r="N20" i="6"/>
  <c r="J20" i="7" s="1"/>
  <c r="M20" i="6"/>
  <c r="O20" i="6" s="1"/>
  <c r="N13" i="6"/>
  <c r="J13" i="7" s="1"/>
  <c r="M13" i="6"/>
  <c r="M16" i="4"/>
  <c r="O16" i="4" s="1"/>
  <c r="M8" i="2"/>
  <c r="O8" i="2" s="1"/>
  <c r="N16" i="5"/>
  <c r="J16" i="6" s="1"/>
  <c r="M16" i="5"/>
  <c r="O16" i="5" s="1"/>
  <c r="M22" i="5"/>
  <c r="O22" i="5" s="1"/>
  <c r="N22" i="5"/>
  <c r="J22" i="6" s="1"/>
  <c r="N18" i="6"/>
  <c r="J18" i="7" s="1"/>
  <c r="M18" i="6"/>
  <c r="O18" i="6" s="1"/>
  <c r="N19" i="6"/>
  <c r="J19" i="7" s="1"/>
  <c r="M19" i="6"/>
  <c r="O19" i="6" s="1"/>
  <c r="N21" i="6"/>
  <c r="J21" i="7" s="1"/>
  <c r="M21" i="6"/>
  <c r="O21" i="6" s="1"/>
  <c r="M17" i="2"/>
  <c r="O17" i="2" s="1"/>
  <c r="O3" i="6"/>
  <c r="P3" i="6"/>
  <c r="S3" i="6" s="1"/>
  <c r="M14" i="5"/>
  <c r="N14" i="5"/>
  <c r="J14" i="6" s="1"/>
  <c r="P3" i="5"/>
  <c r="S3" i="5" s="1"/>
  <c r="M22" i="2"/>
  <c r="O22" i="2" s="1"/>
  <c r="N24" i="2"/>
  <c r="J24" i="4" s="1"/>
  <c r="M24" i="2"/>
  <c r="O24" i="2" s="1"/>
  <c r="N9" i="5"/>
  <c r="J9" i="6" s="1"/>
  <c r="M9" i="5"/>
  <c r="N15" i="5"/>
  <c r="J15" i="6" s="1"/>
  <c r="M15" i="5"/>
  <c r="O15" i="5" s="1"/>
  <c r="N6" i="5"/>
  <c r="J6" i="6" s="1"/>
  <c r="M6" i="5"/>
  <c r="M4" i="5"/>
  <c r="O4" i="5" s="1"/>
  <c r="N4" i="5"/>
  <c r="J4" i="6" s="1"/>
  <c r="M4" i="4"/>
  <c r="N17" i="5"/>
  <c r="J17" i="6" s="1"/>
  <c r="M17" i="5"/>
  <c r="M17" i="4"/>
  <c r="N8" i="5"/>
  <c r="J8" i="6" s="1"/>
  <c r="N8" i="6" s="1"/>
  <c r="M8" i="5"/>
  <c r="O8" i="5" s="1"/>
  <c r="M12" i="2"/>
  <c r="O12" i="2" s="1"/>
  <c r="N7" i="6"/>
  <c r="J7" i="7" s="1"/>
  <c r="M7" i="6"/>
  <c r="O7" i="6" s="1"/>
  <c r="N10" i="6"/>
  <c r="J10" i="7" s="1"/>
  <c r="M10" i="6"/>
  <c r="O10" i="6" s="1"/>
  <c r="N28" i="2"/>
  <c r="J28" i="4" s="1"/>
  <c r="M28" i="2"/>
  <c r="N5" i="6"/>
  <c r="J5" i="7" s="1"/>
  <c r="M5" i="6"/>
  <c r="O5" i="6" s="1"/>
  <c r="N25" i="6"/>
  <c r="J25" i="7" s="1"/>
  <c r="M25" i="6"/>
  <c r="O25" i="6" s="1"/>
  <c r="M6" i="4"/>
  <c r="O6" i="4" s="1"/>
  <c r="N23" i="5"/>
  <c r="J23" i="6" s="1"/>
  <c r="M23" i="5"/>
  <c r="O23" i="5" s="1"/>
  <c r="G4" i="1"/>
  <c r="H4" i="1"/>
  <c r="I4" i="1"/>
  <c r="O4" i="1" s="1"/>
  <c r="G5" i="1"/>
  <c r="H5" i="1"/>
  <c r="I5" i="1"/>
  <c r="O5" i="1" s="1"/>
  <c r="G6" i="1"/>
  <c r="H6" i="1"/>
  <c r="I6" i="1"/>
  <c r="O6" i="1" s="1"/>
  <c r="G7" i="1"/>
  <c r="H7" i="1"/>
  <c r="I7" i="1"/>
  <c r="O7" i="1" s="1"/>
  <c r="G8" i="1"/>
  <c r="H8" i="1"/>
  <c r="I8" i="1"/>
  <c r="O8" i="1" s="1"/>
  <c r="G9" i="1"/>
  <c r="H9" i="1"/>
  <c r="I9" i="1"/>
  <c r="O9" i="1" s="1"/>
  <c r="G10" i="1"/>
  <c r="H10" i="1"/>
  <c r="I10" i="1"/>
  <c r="P10" i="1" s="1"/>
  <c r="S10" i="1" s="1"/>
  <c r="G11" i="1"/>
  <c r="H11" i="1"/>
  <c r="I11" i="1"/>
  <c r="P11" i="1" s="1"/>
  <c r="S11" i="1" s="1"/>
  <c r="G12" i="1"/>
  <c r="H12" i="1"/>
  <c r="I12" i="1"/>
  <c r="G13" i="1"/>
  <c r="H13" i="1"/>
  <c r="I13" i="1"/>
  <c r="O13" i="1" s="1"/>
  <c r="G14" i="1"/>
  <c r="H14" i="1"/>
  <c r="I14" i="1"/>
  <c r="O14" i="1" s="1"/>
  <c r="G15" i="1"/>
  <c r="H15" i="1"/>
  <c r="I15" i="1"/>
  <c r="O15" i="1" s="1"/>
  <c r="G16" i="1"/>
  <c r="H16" i="1"/>
  <c r="I16" i="1"/>
  <c r="O16" i="1" s="1"/>
  <c r="G17" i="1"/>
  <c r="H17" i="1"/>
  <c r="I17" i="1"/>
  <c r="O17" i="1" s="1"/>
  <c r="G18" i="1"/>
  <c r="H18" i="1"/>
  <c r="I18" i="1"/>
  <c r="O18" i="1" s="1"/>
  <c r="G19" i="1"/>
  <c r="H19" i="1"/>
  <c r="I19" i="1"/>
  <c r="O19" i="1" s="1"/>
  <c r="G20" i="1"/>
  <c r="H20" i="1"/>
  <c r="I20" i="1"/>
  <c r="O20" i="1" s="1"/>
  <c r="G21" i="1"/>
  <c r="H21" i="1"/>
  <c r="I21" i="1"/>
  <c r="O21" i="1" s="1"/>
  <c r="G22" i="1"/>
  <c r="H22" i="1"/>
  <c r="I22" i="1"/>
  <c r="O22" i="1" s="1"/>
  <c r="G23" i="1"/>
  <c r="H23" i="1"/>
  <c r="I23" i="1"/>
  <c r="P23" i="1" s="1"/>
  <c r="S23" i="1" s="1"/>
  <c r="G24" i="1"/>
  <c r="H24" i="1"/>
  <c r="I24" i="1"/>
  <c r="P24" i="1" s="1"/>
  <c r="S24" i="1" s="1"/>
  <c r="G25" i="1"/>
  <c r="H25" i="1"/>
  <c r="I25" i="1"/>
  <c r="O25" i="1" s="1"/>
  <c r="G26" i="1"/>
  <c r="H26" i="1"/>
  <c r="I26" i="1"/>
  <c r="O26" i="1" s="1"/>
  <c r="G27" i="1"/>
  <c r="H27" i="1"/>
  <c r="I27" i="1"/>
  <c r="O27" i="1" s="1"/>
  <c r="G28" i="1"/>
  <c r="H28" i="1"/>
  <c r="I28" i="1"/>
  <c r="O28" i="1" s="1"/>
  <c r="I3" i="1"/>
  <c r="O3" i="1" s="1"/>
  <c r="H3" i="1"/>
  <c r="G3" i="1"/>
  <c r="O17" i="5" l="1"/>
  <c r="P17" i="5"/>
  <c r="S17" i="5" s="1"/>
  <c r="P25" i="2"/>
  <c r="S25" i="2" s="1"/>
  <c r="P15" i="4"/>
  <c r="S15" i="4" s="1"/>
  <c r="O15" i="4"/>
  <c r="P8" i="4"/>
  <c r="S8" i="4" s="1"/>
  <c r="O8" i="4"/>
  <c r="N6" i="6"/>
  <c r="J6" i="7" s="1"/>
  <c r="M6" i="6"/>
  <c r="N28" i="4"/>
  <c r="J28" i="5" s="1"/>
  <c r="M28" i="4"/>
  <c r="O28" i="4" s="1"/>
  <c r="O17" i="4"/>
  <c r="N14" i="6"/>
  <c r="J14" i="7" s="1"/>
  <c r="M14" i="6"/>
  <c r="O14" i="6" s="1"/>
  <c r="N19" i="7"/>
  <c r="J19" i="8" s="1"/>
  <c r="M19" i="7"/>
  <c r="O19" i="7" s="1"/>
  <c r="N23" i="6"/>
  <c r="J23" i="7" s="1"/>
  <c r="M23" i="6"/>
  <c r="O23" i="6" s="1"/>
  <c r="N15" i="6"/>
  <c r="J15" i="7" s="1"/>
  <c r="M15" i="6"/>
  <c r="O15" i="6" s="1"/>
  <c r="O14" i="5"/>
  <c r="N16" i="6"/>
  <c r="J16" i="7" s="1"/>
  <c r="M16" i="6"/>
  <c r="O16" i="6" s="1"/>
  <c r="P6" i="5"/>
  <c r="S6" i="5" s="1"/>
  <c r="O6" i="5"/>
  <c r="N10" i="7"/>
  <c r="J10" i="8" s="1"/>
  <c r="M10" i="7"/>
  <c r="O10" i="7" s="1"/>
  <c r="P9" i="5"/>
  <c r="S9" i="5" s="1"/>
  <c r="O9" i="5"/>
  <c r="N21" i="7"/>
  <c r="J21" i="8" s="1"/>
  <c r="M21" i="7"/>
  <c r="J8" i="7"/>
  <c r="M8" i="6"/>
  <c r="N17" i="6"/>
  <c r="J17" i="7" s="1"/>
  <c r="M17" i="6"/>
  <c r="O17" i="6" s="1"/>
  <c r="N18" i="7"/>
  <c r="J18" i="8" s="1"/>
  <c r="M18" i="7"/>
  <c r="O18" i="7" s="1"/>
  <c r="P4" i="4"/>
  <c r="S4" i="4" s="1"/>
  <c r="O4" i="4"/>
  <c r="N25" i="7"/>
  <c r="J25" i="8" s="1"/>
  <c r="M25" i="7"/>
  <c r="O25" i="7" s="1"/>
  <c r="N7" i="7"/>
  <c r="J7" i="8" s="1"/>
  <c r="M7" i="7"/>
  <c r="O7" i="7" s="1"/>
  <c r="N4" i="6"/>
  <c r="J4" i="7" s="1"/>
  <c r="M4" i="6"/>
  <c r="O4" i="6" s="1"/>
  <c r="N22" i="6"/>
  <c r="J22" i="7" s="1"/>
  <c r="M22" i="6"/>
  <c r="O13" i="6"/>
  <c r="N12" i="6"/>
  <c r="J12" i="7" s="1"/>
  <c r="M12" i="6"/>
  <c r="O12" i="6" s="1"/>
  <c r="O28" i="2"/>
  <c r="P28" i="2"/>
  <c r="S28" i="2" s="1"/>
  <c r="N26" i="7"/>
  <c r="J26" i="8" s="1"/>
  <c r="M26" i="7"/>
  <c r="O26" i="7" s="1"/>
  <c r="N9" i="6"/>
  <c r="J9" i="7" s="1"/>
  <c r="M9" i="6"/>
  <c r="N24" i="4"/>
  <c r="J24" i="5" s="1"/>
  <c r="M24" i="4"/>
  <c r="O24" i="4" s="1"/>
  <c r="N13" i="7"/>
  <c r="J13" i="8" s="1"/>
  <c r="M13" i="7"/>
  <c r="N5" i="7"/>
  <c r="J5" i="8" s="1"/>
  <c r="M5" i="7"/>
  <c r="O5" i="7" s="1"/>
  <c r="N20" i="7"/>
  <c r="J20" i="8" s="1"/>
  <c r="M20" i="7"/>
  <c r="O20" i="7" s="1"/>
  <c r="O10" i="1"/>
  <c r="O24" i="1"/>
  <c r="O23" i="1"/>
  <c r="O11" i="1"/>
  <c r="P12" i="1"/>
  <c r="S12" i="1" s="1"/>
  <c r="O12" i="1"/>
  <c r="P6" i="6" l="1"/>
  <c r="S6" i="6" s="1"/>
  <c r="O6" i="6"/>
  <c r="N19" i="8"/>
  <c r="J19" i="9" s="1"/>
  <c r="M19" i="8"/>
  <c r="O19" i="8" s="1"/>
  <c r="N13" i="8"/>
  <c r="J13" i="9" s="1"/>
  <c r="M13" i="8"/>
  <c r="N4" i="7"/>
  <c r="J4" i="8" s="1"/>
  <c r="M4" i="7"/>
  <c r="O4" i="7" s="1"/>
  <c r="M18" i="8"/>
  <c r="N18" i="8"/>
  <c r="J18" i="9" s="1"/>
  <c r="N14" i="7"/>
  <c r="J14" i="8" s="1"/>
  <c r="M14" i="7"/>
  <c r="N5" i="8"/>
  <c r="J5" i="9" s="1"/>
  <c r="M5" i="8"/>
  <c r="N22" i="7"/>
  <c r="J22" i="8" s="1"/>
  <c r="M22" i="7"/>
  <c r="N16" i="7"/>
  <c r="J16" i="8" s="1"/>
  <c r="M16" i="7"/>
  <c r="O16" i="7" s="1"/>
  <c r="N12" i="7"/>
  <c r="J12" i="8" s="1"/>
  <c r="M12" i="7"/>
  <c r="O12" i="7" s="1"/>
  <c r="N17" i="7"/>
  <c r="J17" i="8" s="1"/>
  <c r="M17" i="7"/>
  <c r="N10" i="8"/>
  <c r="J10" i="9" s="1"/>
  <c r="M10" i="8"/>
  <c r="O10" i="8" s="1"/>
  <c r="N15" i="7"/>
  <c r="J15" i="8" s="1"/>
  <c r="M15" i="7"/>
  <c r="P9" i="6"/>
  <c r="S9" i="6" s="1"/>
  <c r="O9" i="6"/>
  <c r="O8" i="6"/>
  <c r="P8" i="6"/>
  <c r="S8" i="6" s="1"/>
  <c r="O22" i="6"/>
  <c r="P22" i="6"/>
  <c r="S22" i="6" s="1"/>
  <c r="O21" i="7"/>
  <c r="P21" i="7"/>
  <c r="S21" i="7" s="1"/>
  <c r="N26" i="8"/>
  <c r="J26" i="9" s="1"/>
  <c r="M26" i="8"/>
  <c r="M21" i="8"/>
  <c r="O21" i="8" s="1"/>
  <c r="N21" i="8"/>
  <c r="J21" i="9" s="1"/>
  <c r="M6" i="7"/>
  <c r="O6" i="7" s="1"/>
  <c r="N6" i="7"/>
  <c r="J6" i="8" s="1"/>
  <c r="P13" i="7"/>
  <c r="S13" i="7" s="1"/>
  <c r="O13" i="7"/>
  <c r="N24" i="5"/>
  <c r="J24" i="6" s="1"/>
  <c r="M24" i="5"/>
  <c r="O24" i="5" s="1"/>
  <c r="N7" i="8"/>
  <c r="J7" i="9" s="1"/>
  <c r="M7" i="8"/>
  <c r="O7" i="8" s="1"/>
  <c r="N20" i="8"/>
  <c r="J20" i="9" s="1"/>
  <c r="M20" i="8"/>
  <c r="O20" i="8" s="1"/>
  <c r="N9" i="7"/>
  <c r="J9" i="8" s="1"/>
  <c r="M9" i="7"/>
  <c r="O9" i="7" s="1"/>
  <c r="N25" i="8"/>
  <c r="J25" i="9" s="1"/>
  <c r="M25" i="8"/>
  <c r="O25" i="8" s="1"/>
  <c r="N8" i="7"/>
  <c r="J8" i="8" s="1"/>
  <c r="M8" i="7"/>
  <c r="O8" i="7" s="1"/>
  <c r="N23" i="7"/>
  <c r="J23" i="8" s="1"/>
  <c r="M23" i="7"/>
  <c r="O23" i="7" s="1"/>
  <c r="M28" i="5"/>
  <c r="O28" i="5" s="1"/>
  <c r="N28" i="5"/>
  <c r="J28" i="6" s="1"/>
  <c r="O26" i="8" l="1"/>
  <c r="P26" i="8"/>
  <c r="S26" i="8" s="1"/>
  <c r="O14" i="7"/>
  <c r="P14" i="7"/>
  <c r="S14" i="7" s="1"/>
  <c r="O13" i="8"/>
  <c r="P13" i="8"/>
  <c r="S13" i="8" s="1"/>
  <c r="N15" i="8"/>
  <c r="J15" i="9" s="1"/>
  <c r="M15" i="8"/>
  <c r="O15" i="8" s="1"/>
  <c r="N6" i="8"/>
  <c r="J6" i="9" s="1"/>
  <c r="M6" i="8"/>
  <c r="O6" i="8" s="1"/>
  <c r="O22" i="7"/>
  <c r="P22" i="7"/>
  <c r="S22" i="7" s="1"/>
  <c r="N23" i="8"/>
  <c r="J23" i="9" s="1"/>
  <c r="M23" i="8"/>
  <c r="O23" i="8" s="1"/>
  <c r="N20" i="9"/>
  <c r="M20" i="9"/>
  <c r="N10" i="9"/>
  <c r="M10" i="9"/>
  <c r="O10" i="9" s="1"/>
  <c r="N22" i="8"/>
  <c r="J22" i="9" s="1"/>
  <c r="M22" i="8"/>
  <c r="O22" i="8" s="1"/>
  <c r="N4" i="8"/>
  <c r="J4" i="9" s="1"/>
  <c r="M4" i="8"/>
  <c r="O4" i="8" s="1"/>
  <c r="N9" i="8"/>
  <c r="J9" i="9" s="1"/>
  <c r="M9" i="8"/>
  <c r="N21" i="9"/>
  <c r="M21" i="9"/>
  <c r="N16" i="8"/>
  <c r="J16" i="9" s="1"/>
  <c r="M16" i="8"/>
  <c r="O16" i="8" s="1"/>
  <c r="P5" i="8"/>
  <c r="S5" i="8" s="1"/>
  <c r="O5" i="8"/>
  <c r="N7" i="9"/>
  <c r="M7" i="9"/>
  <c r="N17" i="8"/>
  <c r="J17" i="9" s="1"/>
  <c r="M17" i="8"/>
  <c r="O17" i="8" s="1"/>
  <c r="N5" i="9"/>
  <c r="M5" i="9"/>
  <c r="O5" i="9" s="1"/>
  <c r="N13" i="9"/>
  <c r="M13" i="9"/>
  <c r="N28" i="6"/>
  <c r="J28" i="7" s="1"/>
  <c r="M28" i="6"/>
  <c r="O28" i="6" s="1"/>
  <c r="O15" i="7"/>
  <c r="N18" i="9"/>
  <c r="M18" i="9"/>
  <c r="O18" i="9" s="1"/>
  <c r="O17" i="7"/>
  <c r="P17" i="7"/>
  <c r="S17" i="7" s="1"/>
  <c r="N8" i="8"/>
  <c r="J8" i="9" s="1"/>
  <c r="M8" i="8"/>
  <c r="N25" i="9"/>
  <c r="M25" i="9"/>
  <c r="O25" i="9" s="1"/>
  <c r="N24" i="6"/>
  <c r="J24" i="7" s="1"/>
  <c r="M24" i="6"/>
  <c r="O24" i="6" s="1"/>
  <c r="N26" i="9"/>
  <c r="M26" i="9"/>
  <c r="O26" i="9" s="1"/>
  <c r="N12" i="8"/>
  <c r="J12" i="9" s="1"/>
  <c r="M12" i="8"/>
  <c r="O12" i="8" s="1"/>
  <c r="N14" i="8"/>
  <c r="J14" i="9" s="1"/>
  <c r="M14" i="8"/>
  <c r="N19" i="9"/>
  <c r="M19" i="9"/>
  <c r="O19" i="9" s="1"/>
  <c r="P18" i="8"/>
  <c r="S18" i="8" s="1"/>
  <c r="O18" i="8"/>
  <c r="O14" i="8" l="1"/>
  <c r="P14" i="8"/>
  <c r="S14" i="8" s="1"/>
  <c r="O8" i="8"/>
  <c r="N28" i="7"/>
  <c r="J28" i="8" s="1"/>
  <c r="M28" i="7"/>
  <c r="O28" i="7" s="1"/>
  <c r="N15" i="9"/>
  <c r="M15" i="9"/>
  <c r="O13" i="9"/>
  <c r="P13" i="9"/>
  <c r="S13" i="9" s="1"/>
  <c r="M4" i="9"/>
  <c r="O4" i="9" s="1"/>
  <c r="N4" i="9"/>
  <c r="N23" i="9"/>
  <c r="M23" i="9"/>
  <c r="O23" i="9" s="1"/>
  <c r="N12" i="9"/>
  <c r="M12" i="9"/>
  <c r="O12" i="9" s="1"/>
  <c r="N9" i="9"/>
  <c r="M9" i="9"/>
  <c r="N22" i="9"/>
  <c r="M22" i="9"/>
  <c r="O22" i="9" s="1"/>
  <c r="O21" i="9"/>
  <c r="P7" i="9"/>
  <c r="S7" i="9" s="1"/>
  <c r="O7" i="9"/>
  <c r="O9" i="8"/>
  <c r="O20" i="9"/>
  <c r="N8" i="9"/>
  <c r="M8" i="9"/>
  <c r="O8" i="9" s="1"/>
  <c r="N24" i="7"/>
  <c r="J24" i="8" s="1"/>
  <c r="M24" i="7"/>
  <c r="O24" i="7" s="1"/>
  <c r="N16" i="9"/>
  <c r="M16" i="9"/>
  <c r="O16" i="9" s="1"/>
  <c r="N14" i="9"/>
  <c r="M14" i="9"/>
  <c r="O14" i="9" s="1"/>
  <c r="N17" i="9"/>
  <c r="M17" i="9"/>
  <c r="N6" i="9"/>
  <c r="M6" i="9"/>
  <c r="O6" i="9" s="1"/>
  <c r="O9" i="9" l="1"/>
  <c r="P9" i="9"/>
  <c r="S9" i="9" s="1"/>
  <c r="O15" i="9"/>
  <c r="P15" i="9"/>
  <c r="S15" i="9" s="1"/>
  <c r="N24" i="8"/>
  <c r="J24" i="9" s="1"/>
  <c r="M24" i="8"/>
  <c r="O24" i="8" s="1"/>
  <c r="O17" i="9"/>
  <c r="N28" i="8"/>
  <c r="J28" i="9" s="1"/>
  <c r="M28" i="8"/>
  <c r="O28" i="8" s="1"/>
  <c r="N28" i="9" l="1"/>
  <c r="M28" i="9"/>
  <c r="O28" i="9" s="1"/>
  <c r="N24" i="9"/>
  <c r="M24" i="9"/>
  <c r="O24" i="9" s="1"/>
</calcChain>
</file>

<file path=xl/sharedStrings.xml><?xml version="1.0" encoding="utf-8"?>
<sst xmlns="http://schemas.openxmlformats.org/spreadsheetml/2006/main" count="456" uniqueCount="75">
  <si>
    <t>COD Mod</t>
  </si>
  <si>
    <t>MOQ</t>
  </si>
  <si>
    <t>Red Zone</t>
  </si>
  <si>
    <t>Yellow Zone</t>
  </si>
  <si>
    <t>Green Zone</t>
  </si>
  <si>
    <t xml:space="preserve">DLT (days) </t>
  </si>
  <si>
    <t>TOR</t>
  </si>
  <si>
    <t>TOY</t>
  </si>
  <si>
    <t>TOG</t>
  </si>
  <si>
    <t>ON HAND (t-1)</t>
  </si>
  <si>
    <t>ON ORDER (t-1)</t>
  </si>
  <si>
    <t>SALES ORDER  (t)</t>
  </si>
  <si>
    <t>Net Flow</t>
  </si>
  <si>
    <t>On Hand</t>
  </si>
  <si>
    <t>Order Priority</t>
  </si>
  <si>
    <t>Gross Order</t>
  </si>
  <si>
    <t>Effective Order</t>
  </si>
  <si>
    <t>Arrival Date</t>
  </si>
  <si>
    <t>Percentual diferrence</t>
  </si>
  <si>
    <t>P3-1</t>
  </si>
  <si>
    <t>P3-2</t>
  </si>
  <si>
    <t>P3-3</t>
  </si>
  <si>
    <t>P3-4</t>
  </si>
  <si>
    <t>P3-5</t>
  </si>
  <si>
    <t>P3-6</t>
  </si>
  <si>
    <t>P3-7</t>
  </si>
  <si>
    <t>P3-8</t>
  </si>
  <si>
    <t>Week 1</t>
  </si>
  <si>
    <t>P3-9</t>
  </si>
  <si>
    <t>P3-10</t>
  </si>
  <si>
    <t>P3-11</t>
  </si>
  <si>
    <t>P3-12</t>
  </si>
  <si>
    <t>P3-13</t>
  </si>
  <si>
    <t>P3-14</t>
  </si>
  <si>
    <t>P3-15</t>
  </si>
  <si>
    <t>P3-16</t>
  </si>
  <si>
    <t>P3-17</t>
  </si>
  <si>
    <t>P3-18</t>
  </si>
  <si>
    <t>P3-19</t>
  </si>
  <si>
    <t>P3-20</t>
  </si>
  <si>
    <t>P3-21</t>
  </si>
  <si>
    <t>P3-22</t>
  </si>
  <si>
    <t>P3-23</t>
  </si>
  <si>
    <t>P3-24</t>
  </si>
  <si>
    <t>P3-25</t>
  </si>
  <si>
    <t>P3-26</t>
  </si>
  <si>
    <t>Week 2</t>
  </si>
  <si>
    <t>Week 3</t>
  </si>
  <si>
    <t>Week 4</t>
  </si>
  <si>
    <t>Week 5</t>
  </si>
  <si>
    <t>Week 6</t>
  </si>
  <si>
    <t>Week 7</t>
  </si>
  <si>
    <t>Week -2</t>
  </si>
  <si>
    <t>Week -1</t>
  </si>
  <si>
    <t>Week 0</t>
  </si>
  <si>
    <t>Week 8</t>
  </si>
  <si>
    <t>Codice</t>
  </si>
  <si>
    <t>DLT (wk)</t>
  </si>
  <si>
    <t>04/07/2022-09/07/2022</t>
  </si>
  <si>
    <t>11/07/2022-16/07/2022</t>
  </si>
  <si>
    <t>18/07/2022-23/07/2022</t>
  </si>
  <si>
    <t>25/07/2022-30/07/2022</t>
  </si>
  <si>
    <t>01/08/2022-06/08/2022</t>
  </si>
  <si>
    <t>08/08/2022-13/08/2022</t>
  </si>
  <si>
    <t>22/08/2022-27/08/2022</t>
  </si>
  <si>
    <t>29/08/2022-03/09/2022</t>
  </si>
  <si>
    <t>VASO-PL</t>
  </si>
  <si>
    <t>COP-VASOPL</t>
  </si>
  <si>
    <t>ET-80X105</t>
  </si>
  <si>
    <t>SEC-PG4.2</t>
  </si>
  <si>
    <t>COP-PG</t>
  </si>
  <si>
    <t>FILM-590</t>
  </si>
  <si>
    <t>WRAP-PG4.2</t>
  </si>
  <si>
    <t>ET-PASTE</t>
  </si>
  <si>
    <t>ET-80X200-AZ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</si>
</sst>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Verdana"/>
      <family val="2"/>
    </font>
    <font>
      <sz val="10"/>
      <name val="Verdana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Verdana"/>
      <family val="2"/>
    </font>
  </fonts>
  <fills count="1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F696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5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0" fillId="0" borderId="1" xfId="0" applyBorder="1"/>
    <xf numFmtId="0" fontId="5" fillId="0" borderId="1" xfId="0" applyFont="1" applyBorder="1"/>
    <xf numFmtId="3" fontId="5" fillId="0" borderId="1" xfId="0" applyNumberFormat="1" applyFont="1" applyBorder="1"/>
    <xf numFmtId="0" fontId="3" fillId="2" borderId="1" xfId="0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/>
    </xf>
    <xf numFmtId="3" fontId="6" fillId="4" borderId="1" xfId="0" applyNumberFormat="1" applyFont="1" applyFill="1" applyBorder="1"/>
    <xf numFmtId="3" fontId="6" fillId="5" borderId="1" xfId="0" applyNumberFormat="1" applyFont="1" applyFill="1" applyBorder="1"/>
    <xf numFmtId="0" fontId="6" fillId="6" borderId="1" xfId="0" applyFont="1" applyFill="1" applyBorder="1"/>
    <xf numFmtId="0" fontId="6" fillId="7" borderId="1" xfId="0" applyFont="1" applyFill="1" applyBorder="1"/>
    <xf numFmtId="0" fontId="6" fillId="8" borderId="1" xfId="0" applyFont="1" applyFill="1" applyBorder="1"/>
    <xf numFmtId="0" fontId="5" fillId="0" borderId="3" xfId="0" applyFont="1" applyBorder="1"/>
    <xf numFmtId="3" fontId="0" fillId="0" borderId="2" xfId="0" applyNumberFormat="1" applyBorder="1"/>
    <xf numFmtId="3" fontId="0" fillId="0" borderId="5" xfId="0" applyNumberFormat="1" applyBorder="1"/>
    <xf numFmtId="3" fontId="0" fillId="0" borderId="6" xfId="0" applyNumberFormat="1" applyBorder="1"/>
    <xf numFmtId="0" fontId="0" fillId="0" borderId="4" xfId="0" applyBorder="1"/>
    <xf numFmtId="0" fontId="3" fillId="2" borderId="3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164" fontId="0" fillId="0" borderId="2" xfId="0" applyNumberFormat="1" applyBorder="1"/>
    <xf numFmtId="9" fontId="0" fillId="0" borderId="2" xfId="2" applyFont="1" applyBorder="1"/>
    <xf numFmtId="3" fontId="0" fillId="9" borderId="2" xfId="0" applyNumberFormat="1" applyFill="1" applyBorder="1"/>
    <xf numFmtId="10" fontId="0" fillId="9" borderId="2" xfId="2" applyNumberFormat="1" applyFont="1" applyFill="1" applyBorder="1"/>
    <xf numFmtId="0" fontId="0" fillId="0" borderId="2" xfId="0" applyBorder="1"/>
    <xf numFmtId="0" fontId="4" fillId="0" borderId="8" xfId="0" applyFont="1" applyBorder="1" applyAlignment="1">
      <alignment horizontal="left" wrapText="1"/>
    </xf>
    <xf numFmtId="0" fontId="4" fillId="11" borderId="8" xfId="0" applyFont="1" applyFill="1" applyBorder="1" applyAlignment="1">
      <alignment horizontal="left" wrapText="1"/>
    </xf>
    <xf numFmtId="165" fontId="8" fillId="11" borderId="2" xfId="1" applyNumberFormat="1" applyFont="1" applyFill="1" applyBorder="1"/>
    <xf numFmtId="165" fontId="9" fillId="11" borderId="2" xfId="1" applyNumberFormat="1" applyFont="1" applyFill="1" applyBorder="1"/>
    <xf numFmtId="165" fontId="8" fillId="0" borderId="2" xfId="1" applyNumberFormat="1" applyFont="1" applyBorder="1"/>
    <xf numFmtId="165" fontId="9" fillId="0" borderId="2" xfId="1" applyNumberFormat="1" applyFont="1" applyBorder="1"/>
    <xf numFmtId="10" fontId="0" fillId="0" borderId="2" xfId="2" applyNumberFormat="1" applyFont="1" applyFill="1" applyBorder="1"/>
    <xf numFmtId="164" fontId="0" fillId="12" borderId="2" xfId="0" applyNumberFormat="1" applyFill="1" applyBorder="1"/>
    <xf numFmtId="0" fontId="4" fillId="13" borderId="8" xfId="0" applyFont="1" applyFill="1" applyBorder="1" applyAlignment="1">
      <alignment horizontal="left" wrapText="1"/>
    </xf>
    <xf numFmtId="165" fontId="8" fillId="13" borderId="2" xfId="1" applyNumberFormat="1" applyFont="1" applyFill="1" applyBorder="1"/>
    <xf numFmtId="165" fontId="9" fillId="13" borderId="2" xfId="1" applyNumberFormat="1" applyFont="1" applyFill="1" applyBorder="1"/>
    <xf numFmtId="0" fontId="0" fillId="13" borderId="0" xfId="0" applyFill="1"/>
    <xf numFmtId="0" fontId="2" fillId="0" borderId="0" xfId="0" applyFont="1"/>
    <xf numFmtId="0" fontId="10" fillId="10" borderId="1" xfId="0" applyFont="1" applyFill="1" applyBorder="1" applyAlignment="1">
      <alignment horizontal="center"/>
    </xf>
    <xf numFmtId="0" fontId="10" fillId="11" borderId="1" xfId="0" applyFont="1" applyFill="1" applyBorder="1" applyAlignment="1">
      <alignment horizontal="center"/>
    </xf>
    <xf numFmtId="0" fontId="10" fillId="13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2" fillId="0" borderId="3" xfId="0" applyFont="1" applyBorder="1"/>
    <xf numFmtId="0" fontId="2" fillId="0" borderId="1" xfId="0" applyFont="1" applyBorder="1"/>
  </cellXfs>
  <cellStyles count="3">
    <cellStyle name="Millares" xfId="1" builtinId="3"/>
    <cellStyle name="Normal" xfId="0" builtinId="0"/>
    <cellStyle name="Porcentaje" xfId="2" builtinId="5"/>
  </cellStyles>
  <dxfs count="14"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rgb="FFFFFFFF"/>
          </stop>
          <stop position="1">
            <color rgb="FFFF0000"/>
          </stop>
        </gradient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rgb="FFFFFFFF"/>
          </stop>
          <stop position="1">
            <color rgb="FFFF0000"/>
          </stop>
        </gradient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rgb="FFFFFFFF"/>
          </stop>
          <stop position="1">
            <color rgb="FFFF0000"/>
          </stop>
        </gradient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rgb="FFFFFFFF"/>
          </stop>
          <stop position="1">
            <color rgb="FFFF0000"/>
          </stop>
        </gradient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rgb="FFFFFFFF"/>
          </stop>
          <stop position="1">
            <color rgb="FFFF0000"/>
          </stop>
        </gradientFill>
      </fill>
    </dxf>
    <dxf>
      <fill>
        <gradientFill degree="90">
          <stop position="0">
            <color rgb="FFFFFFFF"/>
          </stop>
          <stop position="1">
            <color rgb="FFFF0000"/>
          </stop>
        </gradientFill>
      </fill>
    </dxf>
    <dxf>
      <fill>
        <gradientFill degree="90">
          <stop position="0">
            <color rgb="FFFFFFFF"/>
          </stop>
          <stop position="1">
            <color rgb="FFFF0000"/>
          </stop>
        </gradientFill>
      </fill>
    </dxf>
    <dxf>
      <fill>
        <gradientFill degree="90">
          <stop position="0">
            <color rgb="FFFFFFFF"/>
          </stop>
          <stop position="1">
            <color rgb="FFFF0000"/>
          </stop>
        </gradientFill>
      </fill>
    </dxf>
  </dxfs>
  <tableStyles count="0" defaultTableStyle="TableStyleMedium2" defaultPivotStyle="PivotStyleMedium9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FFER%20FI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torage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ek 1"/>
      <sheetName val="Week 2"/>
      <sheetName val="Week 3"/>
      <sheetName val="Week 4"/>
      <sheetName val="Week 5"/>
      <sheetName val="Buffer Summary"/>
      <sheetName val="Sheet1"/>
    </sheetNames>
    <sheetDataSet>
      <sheetData sheetId="0"/>
      <sheetData sheetId="1"/>
      <sheetData sheetId="2"/>
      <sheetData sheetId="3"/>
      <sheetData sheetId="4"/>
      <sheetData sheetId="5">
        <row r="3">
          <cell r="B3">
            <v>5546.2074779999994</v>
          </cell>
          <cell r="D3">
            <v>7764.6904691999998</v>
          </cell>
          <cell r="F3">
            <v>9705.8630864999996</v>
          </cell>
        </row>
        <row r="4">
          <cell r="B4">
            <v>700</v>
          </cell>
          <cell r="D4">
            <v>511.33672799999994</v>
          </cell>
          <cell r="F4">
            <v>1225</v>
          </cell>
        </row>
        <row r="5">
          <cell r="B5">
            <v>228.50846000000001</v>
          </cell>
          <cell r="D5">
            <v>298.45594799999998</v>
          </cell>
          <cell r="F5">
            <v>399.88980499999997</v>
          </cell>
        </row>
        <row r="6">
          <cell r="B6">
            <v>3333.6149999999993</v>
          </cell>
          <cell r="D6">
            <v>4667.0609999999997</v>
          </cell>
          <cell r="F6">
            <v>5833.8262500000001</v>
          </cell>
        </row>
        <row r="7">
          <cell r="B7">
            <v>631.50251999999989</v>
          </cell>
          <cell r="D7">
            <v>884.10352799999998</v>
          </cell>
          <cell r="F7">
            <v>1105.12941</v>
          </cell>
        </row>
        <row r="8">
          <cell r="B8">
            <v>8339.7999999999993</v>
          </cell>
          <cell r="D8">
            <v>25019.4</v>
          </cell>
          <cell r="F8">
            <v>14594.65</v>
          </cell>
        </row>
        <row r="9">
          <cell r="B9">
            <v>5546.2074779999994</v>
          </cell>
          <cell r="D9">
            <v>7764.6904691999998</v>
          </cell>
          <cell r="F9">
            <v>9705.8630864999996</v>
          </cell>
        </row>
        <row r="10">
          <cell r="B10">
            <v>6272</v>
          </cell>
          <cell r="D10">
            <v>876.23199999999997</v>
          </cell>
          <cell r="F10">
            <v>10976</v>
          </cell>
        </row>
        <row r="11">
          <cell r="B11">
            <v>6400</v>
          </cell>
          <cell r="D11">
            <v>882.952</v>
          </cell>
          <cell r="F11">
            <v>11200</v>
          </cell>
        </row>
        <row r="12">
          <cell r="B12">
            <v>50000</v>
          </cell>
          <cell r="D12">
            <v>9435.8879999999972</v>
          </cell>
          <cell r="F12">
            <v>87500</v>
          </cell>
        </row>
        <row r="13">
          <cell r="B13">
            <v>12989.427822799998</v>
          </cell>
          <cell r="D13">
            <v>18185.19895192</v>
          </cell>
          <cell r="F13">
            <v>22731.4986899</v>
          </cell>
        </row>
        <row r="14">
          <cell r="B14">
            <v>2325.2021299999997</v>
          </cell>
          <cell r="D14">
            <v>3255.2829820000006</v>
          </cell>
          <cell r="F14">
            <v>4069.1037274999994</v>
          </cell>
        </row>
        <row r="15">
          <cell r="B15">
            <v>952.15905999999995</v>
          </cell>
          <cell r="D15">
            <v>1307.794124</v>
          </cell>
          <cell r="F15">
            <v>1666.2783549999999</v>
          </cell>
        </row>
        <row r="16">
          <cell r="B16">
            <v>1291.2368199999999</v>
          </cell>
          <cell r="D16">
            <v>1807.7315480000002</v>
          </cell>
          <cell r="F16">
            <v>2259.6644349999997</v>
          </cell>
        </row>
        <row r="17">
          <cell r="B17">
            <v>16744.504919999999</v>
          </cell>
          <cell r="D17">
            <v>23442.306887999999</v>
          </cell>
          <cell r="F17">
            <v>29302.883610000001</v>
          </cell>
        </row>
        <row r="18">
          <cell r="B18">
            <v>2542.5087199999994</v>
          </cell>
          <cell r="D18">
            <v>3559.5122080000001</v>
          </cell>
          <cell r="F18">
            <v>4449.3902600000001</v>
          </cell>
        </row>
        <row r="19">
          <cell r="B19">
            <v>20.045300000000001</v>
          </cell>
          <cell r="D19">
            <v>37.999866666666662</v>
          </cell>
          <cell r="F19">
            <v>35.079274999999996</v>
          </cell>
        </row>
        <row r="20">
          <cell r="B20">
            <v>29.528506000000004</v>
          </cell>
          <cell r="D20">
            <v>41.339908400000006</v>
          </cell>
          <cell r="F20">
            <v>51.674885500000002</v>
          </cell>
        </row>
        <row r="21">
          <cell r="B21">
            <v>44.621126399999994</v>
          </cell>
          <cell r="D21">
            <v>130.88863743999997</v>
          </cell>
          <cell r="F21">
            <v>78.086971199999979</v>
          </cell>
        </row>
        <row r="22">
          <cell r="B22">
            <v>1154.1893333333333</v>
          </cell>
          <cell r="D22">
            <v>2912.6439999999998</v>
          </cell>
          <cell r="F22">
            <v>2019.8313333333331</v>
          </cell>
        </row>
        <row r="23">
          <cell r="B23">
            <v>40044.367999999995</v>
          </cell>
          <cell r="D23">
            <v>13348.122666666666</v>
          </cell>
          <cell r="F23">
            <v>60066.551999999989</v>
          </cell>
        </row>
        <row r="24">
          <cell r="B24">
            <v>71972.712</v>
          </cell>
          <cell r="D24">
            <v>23990.904000000002</v>
          </cell>
          <cell r="F24">
            <v>107959.068</v>
          </cell>
        </row>
        <row r="25">
          <cell r="B25">
            <v>756.71472799999992</v>
          </cell>
          <cell r="D25">
            <v>252.23824266666665</v>
          </cell>
          <cell r="F25">
            <v>1135.0720919999999</v>
          </cell>
        </row>
        <row r="26">
          <cell r="B26">
            <v>11147.248</v>
          </cell>
          <cell r="D26">
            <v>5573.6239999999998</v>
          </cell>
          <cell r="F26">
            <v>16720.871999999996</v>
          </cell>
        </row>
        <row r="27">
          <cell r="B27">
            <v>103574.07999999999</v>
          </cell>
          <cell r="D27">
            <v>23897.421333333332</v>
          </cell>
          <cell r="F27">
            <v>155361.12</v>
          </cell>
        </row>
        <row r="28">
          <cell r="B28">
            <v>103520.91733333333</v>
          </cell>
          <cell r="D28">
            <v>24017.541333333334</v>
          </cell>
          <cell r="F28">
            <v>155281.37599999999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me"/>
      <sheetName val="Arrival"/>
      <sheetName val="On-Order"/>
      <sheetName val="On-Hand"/>
      <sheetName val="FINAL RESULTS"/>
    </sheetNames>
    <sheetDataSet>
      <sheetData sheetId="0">
        <row r="3">
          <cell r="D3">
            <v>2351.6999999999998</v>
          </cell>
          <cell r="E3">
            <v>1718.8</v>
          </cell>
          <cell r="F3">
            <v>399.6</v>
          </cell>
          <cell r="G3">
            <v>3628.6</v>
          </cell>
          <cell r="H3">
            <v>1528.8</v>
          </cell>
          <cell r="I3">
            <v>1812.5</v>
          </cell>
          <cell r="J3">
            <v>772.9</v>
          </cell>
          <cell r="K3">
            <v>2179.6999999999998</v>
          </cell>
        </row>
        <row r="4">
          <cell r="D4">
            <v>171.9</v>
          </cell>
          <cell r="E4">
            <v>447.9</v>
          </cell>
          <cell r="F4">
            <v>9.1999999999999993</v>
          </cell>
          <cell r="G4">
            <v>221.6</v>
          </cell>
          <cell r="H4">
            <v>62.9</v>
          </cell>
          <cell r="I4">
            <v>26.9</v>
          </cell>
          <cell r="J4">
            <v>29.2</v>
          </cell>
          <cell r="K4">
            <v>108.1</v>
          </cell>
        </row>
        <row r="5">
          <cell r="D5">
            <v>88.6</v>
          </cell>
          <cell r="E5">
            <v>43</v>
          </cell>
          <cell r="F5">
            <v>17.399999999999999</v>
          </cell>
          <cell r="G5">
            <v>173.2</v>
          </cell>
          <cell r="H5">
            <v>47.7</v>
          </cell>
          <cell r="I5">
            <v>51</v>
          </cell>
          <cell r="J5">
            <v>35.700000000000003</v>
          </cell>
          <cell r="K5">
            <v>78.2</v>
          </cell>
        </row>
        <row r="6">
          <cell r="D6">
            <v>1224.8</v>
          </cell>
          <cell r="E6">
            <v>778</v>
          </cell>
          <cell r="F6">
            <v>46.5</v>
          </cell>
          <cell r="G6">
            <v>1925.6</v>
          </cell>
          <cell r="H6">
            <v>1133</v>
          </cell>
          <cell r="I6">
            <v>1257.5</v>
          </cell>
          <cell r="J6">
            <v>504</v>
          </cell>
          <cell r="K6">
            <v>1944</v>
          </cell>
        </row>
        <row r="7">
          <cell r="D7">
            <v>364.4</v>
          </cell>
          <cell r="E7">
            <v>160</v>
          </cell>
          <cell r="F7">
            <v>26.5</v>
          </cell>
          <cell r="G7">
            <v>299.7</v>
          </cell>
          <cell r="H7">
            <v>266.7</v>
          </cell>
          <cell r="I7">
            <v>203.8</v>
          </cell>
          <cell r="J7">
            <v>118.7</v>
          </cell>
          <cell r="K7">
            <v>294.39999999999998</v>
          </cell>
        </row>
        <row r="8">
          <cell r="D8"/>
          <cell r="E8">
            <v>9450</v>
          </cell>
          <cell r="F8">
            <v>7350</v>
          </cell>
          <cell r="G8">
            <v>10500</v>
          </cell>
          <cell r="H8">
            <v>7000</v>
          </cell>
          <cell r="I8">
            <v>2100</v>
          </cell>
          <cell r="J8">
            <v>2100</v>
          </cell>
          <cell r="K8"/>
        </row>
        <row r="9">
          <cell r="D9">
            <v>2351.6999999999998</v>
          </cell>
          <cell r="E9">
            <v>1718.8</v>
          </cell>
          <cell r="F9">
            <v>399.6</v>
          </cell>
          <cell r="G9">
            <v>3628.6</v>
          </cell>
          <cell r="H9">
            <v>1528.8</v>
          </cell>
          <cell r="I9">
            <v>1812.5</v>
          </cell>
          <cell r="J9">
            <v>772.9</v>
          </cell>
          <cell r="K9">
            <v>2179.6999999999998</v>
          </cell>
        </row>
        <row r="10">
          <cell r="D10">
            <v>200</v>
          </cell>
          <cell r="E10">
            <v>158</v>
          </cell>
          <cell r="F10">
            <v>52</v>
          </cell>
          <cell r="G10">
            <v>457</v>
          </cell>
          <cell r="H10">
            <v>213</v>
          </cell>
          <cell r="I10">
            <v>165</v>
          </cell>
          <cell r="J10">
            <v>70</v>
          </cell>
          <cell r="K10">
            <v>175</v>
          </cell>
        </row>
        <row r="11">
          <cell r="D11">
            <v>198</v>
          </cell>
          <cell r="E11">
            <v>158</v>
          </cell>
          <cell r="F11">
            <v>62</v>
          </cell>
          <cell r="G11">
            <v>459</v>
          </cell>
          <cell r="H11">
            <v>213</v>
          </cell>
          <cell r="I11">
            <v>165</v>
          </cell>
          <cell r="J11">
            <v>69</v>
          </cell>
          <cell r="K11">
            <v>175</v>
          </cell>
        </row>
        <row r="12">
          <cell r="D12">
            <v>3521</v>
          </cell>
          <cell r="E12">
            <v>2422</v>
          </cell>
          <cell r="F12">
            <v>1201</v>
          </cell>
          <cell r="G12">
            <v>2464</v>
          </cell>
          <cell r="H12">
            <v>2439</v>
          </cell>
          <cell r="I12">
            <v>1287</v>
          </cell>
          <cell r="J12">
            <v>3770</v>
          </cell>
          <cell r="K12">
            <v>1801</v>
          </cell>
        </row>
        <row r="13">
          <cell r="D13">
            <v>3973.3</v>
          </cell>
          <cell r="E13">
            <v>3268.5</v>
          </cell>
          <cell r="F13">
            <v>503.1</v>
          </cell>
          <cell r="G13">
            <v>9417.1</v>
          </cell>
          <cell r="H13">
            <v>4091.6</v>
          </cell>
          <cell r="I13">
            <v>4116.5</v>
          </cell>
          <cell r="J13">
            <v>1443.3</v>
          </cell>
          <cell r="K13">
            <v>4700.3</v>
          </cell>
        </row>
        <row r="14">
          <cell r="D14">
            <v>996.4</v>
          </cell>
          <cell r="E14">
            <v>206</v>
          </cell>
          <cell r="F14">
            <v>1.1000000000000001</v>
          </cell>
          <cell r="G14">
            <v>2163</v>
          </cell>
          <cell r="H14">
            <v>544.9</v>
          </cell>
          <cell r="I14">
            <v>636</v>
          </cell>
          <cell r="J14">
            <v>277.5</v>
          </cell>
          <cell r="K14">
            <v>674.8</v>
          </cell>
        </row>
        <row r="15">
          <cell r="D15">
            <v>468.1</v>
          </cell>
          <cell r="E15">
            <v>59.4</v>
          </cell>
          <cell r="F15"/>
          <cell r="G15">
            <v>896.1</v>
          </cell>
          <cell r="H15">
            <v>215.1</v>
          </cell>
          <cell r="I15">
            <v>206.4</v>
          </cell>
          <cell r="J15">
            <v>152.1</v>
          </cell>
          <cell r="K15">
            <v>231.5</v>
          </cell>
        </row>
        <row r="16">
          <cell r="D16">
            <v>535.29999999999995</v>
          </cell>
          <cell r="E16">
            <v>221.8</v>
          </cell>
          <cell r="F16">
            <v>153</v>
          </cell>
          <cell r="G16">
            <v>1133.5</v>
          </cell>
          <cell r="H16">
            <v>251.1</v>
          </cell>
          <cell r="I16">
            <v>340.8</v>
          </cell>
          <cell r="J16">
            <v>152.1</v>
          </cell>
          <cell r="K16">
            <v>298.7</v>
          </cell>
        </row>
        <row r="17">
          <cell r="D17">
            <v>1978.3</v>
          </cell>
          <cell r="E17">
            <v>2548.3000000000002</v>
          </cell>
          <cell r="F17">
            <v>1206.7</v>
          </cell>
          <cell r="G17">
            <v>14699.6</v>
          </cell>
          <cell r="H17">
            <v>5511.9</v>
          </cell>
          <cell r="I17">
            <v>4087.1</v>
          </cell>
          <cell r="J17">
            <v>2789.9</v>
          </cell>
          <cell r="K17">
            <v>1930.4</v>
          </cell>
        </row>
        <row r="18">
          <cell r="D18">
            <v>896.4</v>
          </cell>
          <cell r="E18"/>
          <cell r="F18">
            <v>112.4</v>
          </cell>
          <cell r="G18">
            <v>3075.9</v>
          </cell>
          <cell r="H18"/>
          <cell r="I18">
            <v>14.1</v>
          </cell>
          <cell r="J18">
            <v>816.8</v>
          </cell>
          <cell r="K18">
            <v>1424.4</v>
          </cell>
        </row>
        <row r="19">
          <cell r="D19">
            <v>4.5</v>
          </cell>
          <cell r="E19">
            <v>17.600000000000001</v>
          </cell>
          <cell r="F19">
            <v>0.5</v>
          </cell>
          <cell r="G19">
            <v>4.9000000000000004</v>
          </cell>
          <cell r="H19"/>
          <cell r="I19">
            <v>7.8</v>
          </cell>
          <cell r="J19"/>
          <cell r="K19">
            <v>3.7</v>
          </cell>
        </row>
        <row r="20">
          <cell r="D20">
            <v>9.6</v>
          </cell>
          <cell r="E20">
            <v>28.9</v>
          </cell>
          <cell r="F20">
            <v>3.6</v>
          </cell>
          <cell r="G20">
            <v>18.600000000000001</v>
          </cell>
          <cell r="H20">
            <v>2.8</v>
          </cell>
          <cell r="I20">
            <v>8.1</v>
          </cell>
          <cell r="J20">
            <v>2.7</v>
          </cell>
          <cell r="K20">
            <v>6.5</v>
          </cell>
        </row>
        <row r="21">
          <cell r="D21">
            <v>12.4</v>
          </cell>
          <cell r="E21">
            <v>59.6</v>
          </cell>
          <cell r="F21">
            <v>4.2</v>
          </cell>
          <cell r="G21">
            <v>17.600000000000001</v>
          </cell>
          <cell r="H21"/>
          <cell r="I21">
            <v>24.8</v>
          </cell>
          <cell r="J21"/>
          <cell r="K21">
            <v>13.6</v>
          </cell>
        </row>
        <row r="22">
          <cell r="D22">
            <v>1081</v>
          </cell>
          <cell r="E22">
            <v>345</v>
          </cell>
          <cell r="F22"/>
          <cell r="G22">
            <v>152</v>
          </cell>
          <cell r="H22">
            <v>932</v>
          </cell>
          <cell r="I22">
            <v>2400</v>
          </cell>
          <cell r="J22"/>
          <cell r="K22">
            <v>434</v>
          </cell>
        </row>
        <row r="23">
          <cell r="D23">
            <v>4660</v>
          </cell>
          <cell r="E23">
            <v>1768</v>
          </cell>
          <cell r="F23">
            <v>381</v>
          </cell>
          <cell r="G23">
            <v>11920</v>
          </cell>
          <cell r="H23">
            <v>3975</v>
          </cell>
          <cell r="I23">
            <v>3743</v>
          </cell>
          <cell r="J23">
            <v>1914</v>
          </cell>
          <cell r="K23">
            <v>6238</v>
          </cell>
        </row>
        <row r="24">
          <cell r="D24">
            <v>8580</v>
          </cell>
          <cell r="E24">
            <v>4447</v>
          </cell>
          <cell r="F24">
            <v>1190</v>
          </cell>
          <cell r="G24">
            <v>22140</v>
          </cell>
          <cell r="H24">
            <v>6720</v>
          </cell>
          <cell r="I24">
            <v>5018</v>
          </cell>
          <cell r="J24">
            <v>4218</v>
          </cell>
          <cell r="K24">
            <v>9913</v>
          </cell>
        </row>
        <row r="25">
          <cell r="D25">
            <v>97.8</v>
          </cell>
          <cell r="E25">
            <v>67.900000000000006</v>
          </cell>
          <cell r="F25">
            <v>11.9</v>
          </cell>
          <cell r="G25">
            <v>223.7</v>
          </cell>
          <cell r="H25">
            <v>67.5</v>
          </cell>
          <cell r="I25">
            <v>48.5</v>
          </cell>
          <cell r="J25">
            <v>49.3</v>
          </cell>
          <cell r="K25">
            <v>109.3</v>
          </cell>
        </row>
        <row r="26">
          <cell r="D26">
            <v>2118</v>
          </cell>
          <cell r="E26">
            <v>491</v>
          </cell>
          <cell r="F26">
            <v>121</v>
          </cell>
          <cell r="G26">
            <v>3934</v>
          </cell>
          <cell r="H26">
            <v>2070</v>
          </cell>
          <cell r="I26">
            <v>1835</v>
          </cell>
          <cell r="J26">
            <v>904</v>
          </cell>
          <cell r="K26">
            <v>4173</v>
          </cell>
        </row>
        <row r="27">
          <cell r="D27">
            <v>8991</v>
          </cell>
          <cell r="E27">
            <v>4225</v>
          </cell>
          <cell r="F27">
            <v>1003</v>
          </cell>
          <cell r="G27">
            <v>21463</v>
          </cell>
          <cell r="H27">
            <v>7478</v>
          </cell>
          <cell r="I27">
            <v>4384</v>
          </cell>
          <cell r="J27">
            <v>4615</v>
          </cell>
          <cell r="K27">
            <v>10463</v>
          </cell>
        </row>
        <row r="28">
          <cell r="D28">
            <v>5729</v>
          </cell>
          <cell r="E28">
            <v>4170</v>
          </cell>
          <cell r="F28">
            <v>1326</v>
          </cell>
          <cell r="G28">
            <v>22777</v>
          </cell>
          <cell r="H28">
            <v>8280</v>
          </cell>
          <cell r="I28">
            <v>3998</v>
          </cell>
          <cell r="J28">
            <v>4205</v>
          </cell>
          <cell r="K28">
            <v>7709</v>
          </cell>
        </row>
      </sheetData>
      <sheetData sheetId="1">
        <row r="3">
          <cell r="D3">
            <v>5526</v>
          </cell>
          <cell r="E3">
            <v>3400</v>
          </cell>
          <cell r="F3">
            <v>0</v>
          </cell>
        </row>
        <row r="4">
          <cell r="D4">
            <v>0</v>
          </cell>
          <cell r="E4">
            <v>0</v>
          </cell>
          <cell r="F4">
            <v>520</v>
          </cell>
        </row>
        <row r="5">
          <cell r="D5">
            <v>440</v>
          </cell>
          <cell r="E5"/>
          <cell r="F5"/>
        </row>
        <row r="6">
          <cell r="D6">
            <v>2760</v>
          </cell>
          <cell r="E6">
            <v>2748</v>
          </cell>
          <cell r="F6">
            <v>2789</v>
          </cell>
        </row>
        <row r="7">
          <cell r="D7"/>
          <cell r="E7">
            <v>1800</v>
          </cell>
          <cell r="F7"/>
        </row>
        <row r="8">
          <cell r="D8">
            <v>10500</v>
          </cell>
          <cell r="E8"/>
          <cell r="F8"/>
        </row>
        <row r="9">
          <cell r="D9">
            <v>5526</v>
          </cell>
          <cell r="E9">
            <v>3400</v>
          </cell>
          <cell r="F9">
            <v>0</v>
          </cell>
        </row>
        <row r="10">
          <cell r="D10"/>
          <cell r="E10"/>
          <cell r="F10"/>
        </row>
        <row r="11">
          <cell r="D11"/>
          <cell r="E11"/>
          <cell r="F11"/>
        </row>
        <row r="12">
          <cell r="D12"/>
          <cell r="E12"/>
          <cell r="F12"/>
        </row>
        <row r="13">
          <cell r="D13">
            <v>0</v>
          </cell>
          <cell r="E13">
            <v>9000</v>
          </cell>
          <cell r="F13">
            <v>9000</v>
          </cell>
        </row>
        <row r="14">
          <cell r="D14"/>
          <cell r="E14">
            <v>4500</v>
          </cell>
          <cell r="F14"/>
        </row>
        <row r="15">
          <cell r="D15"/>
          <cell r="E15"/>
          <cell r="F15">
            <v>1500</v>
          </cell>
        </row>
        <row r="16">
          <cell r="D16"/>
          <cell r="E16">
            <v>4500</v>
          </cell>
          <cell r="F16"/>
        </row>
        <row r="17">
          <cell r="D17">
            <v>31350</v>
          </cell>
          <cell r="E17">
            <v>0</v>
          </cell>
          <cell r="F17">
            <v>0</v>
          </cell>
        </row>
        <row r="18">
          <cell r="D18"/>
          <cell r="E18"/>
          <cell r="F18">
            <v>3000</v>
          </cell>
        </row>
        <row r="19">
          <cell r="D19"/>
          <cell r="E19"/>
          <cell r="F19"/>
        </row>
        <row r="20">
          <cell r="D20"/>
          <cell r="E20"/>
          <cell r="F20"/>
        </row>
        <row r="21">
          <cell r="D21"/>
          <cell r="E21"/>
          <cell r="F21"/>
        </row>
        <row r="22">
          <cell r="D22">
            <v>3000</v>
          </cell>
          <cell r="E22"/>
          <cell r="F22"/>
        </row>
        <row r="23">
          <cell r="D23">
            <v>19800</v>
          </cell>
          <cell r="E23"/>
          <cell r="F23"/>
        </row>
        <row r="24">
          <cell r="D24">
            <v>39690</v>
          </cell>
          <cell r="E24">
            <v>0</v>
          </cell>
          <cell r="F24">
            <v>930</v>
          </cell>
        </row>
        <row r="25">
          <cell r="D25"/>
          <cell r="E25"/>
          <cell r="F25"/>
        </row>
        <row r="26">
          <cell r="D26"/>
          <cell r="E26"/>
          <cell r="F26"/>
        </row>
        <row r="27">
          <cell r="D27"/>
          <cell r="E27"/>
          <cell r="F27"/>
        </row>
        <row r="28">
          <cell r="D28"/>
          <cell r="E28"/>
          <cell r="F28"/>
        </row>
      </sheetData>
      <sheetData sheetId="2">
        <row r="3">
          <cell r="C3">
            <v>8926</v>
          </cell>
          <cell r="D3">
            <v>7190</v>
          </cell>
          <cell r="E3">
            <v>7190</v>
          </cell>
          <cell r="F3">
            <v>7190</v>
          </cell>
          <cell r="G3">
            <v>3400</v>
          </cell>
          <cell r="H3">
            <v>3400</v>
          </cell>
          <cell r="I3">
            <v>0</v>
          </cell>
          <cell r="J3">
            <v>0</v>
          </cell>
        </row>
        <row r="4">
          <cell r="C4">
            <v>520</v>
          </cell>
          <cell r="D4">
            <v>520</v>
          </cell>
          <cell r="E4">
            <v>520</v>
          </cell>
          <cell r="F4">
            <v>0</v>
          </cell>
          <cell r="G4">
            <v>520</v>
          </cell>
          <cell r="H4">
            <v>0</v>
          </cell>
          <cell r="I4">
            <v>0</v>
          </cell>
          <cell r="J4">
            <v>520</v>
          </cell>
        </row>
        <row r="5">
          <cell r="C5">
            <v>440</v>
          </cell>
          <cell r="D5">
            <v>0</v>
          </cell>
          <cell r="E5">
            <v>440</v>
          </cell>
          <cell r="F5">
            <v>440</v>
          </cell>
          <cell r="G5">
            <v>440</v>
          </cell>
          <cell r="H5">
            <v>440</v>
          </cell>
          <cell r="I5"/>
          <cell r="J5"/>
        </row>
        <row r="6">
          <cell r="C6">
            <v>8297</v>
          </cell>
          <cell r="D6">
            <v>8313</v>
          </cell>
          <cell r="E6">
            <v>5565</v>
          </cell>
          <cell r="F6">
            <v>2776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1800</v>
          </cell>
          <cell r="D7">
            <v>1800</v>
          </cell>
          <cell r="E7">
            <v>0</v>
          </cell>
          <cell r="F7">
            <v>0</v>
          </cell>
          <cell r="G7">
            <v>0</v>
          </cell>
          <cell r="H7"/>
          <cell r="I7"/>
          <cell r="J7"/>
        </row>
        <row r="8">
          <cell r="C8">
            <v>10500</v>
          </cell>
          <cell r="D8">
            <v>10500</v>
          </cell>
          <cell r="E8">
            <v>10500</v>
          </cell>
          <cell r="F8">
            <v>21000</v>
          </cell>
          <cell r="G8">
            <v>10500</v>
          </cell>
          <cell r="H8">
            <v>10500</v>
          </cell>
          <cell r="I8"/>
          <cell r="J8"/>
        </row>
        <row r="9">
          <cell r="C9">
            <v>8926</v>
          </cell>
          <cell r="D9">
            <v>7190</v>
          </cell>
          <cell r="E9">
            <v>7190</v>
          </cell>
          <cell r="F9">
            <v>7190</v>
          </cell>
          <cell r="G9">
            <v>3400</v>
          </cell>
          <cell r="H9">
            <v>3400</v>
          </cell>
          <cell r="I9">
            <v>0</v>
          </cell>
          <cell r="J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6272</v>
          </cell>
          <cell r="G10">
            <v>6272</v>
          </cell>
          <cell r="H10"/>
          <cell r="I10">
            <v>6272</v>
          </cell>
          <cell r="J10"/>
        </row>
        <row r="11">
          <cell r="C11">
            <v>0</v>
          </cell>
          <cell r="D11">
            <v>0</v>
          </cell>
          <cell r="E11">
            <v>0</v>
          </cell>
          <cell r="F11">
            <v>6400</v>
          </cell>
          <cell r="G11">
            <v>6400</v>
          </cell>
          <cell r="H11"/>
          <cell r="I11">
            <v>6400</v>
          </cell>
          <cell r="J11"/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/>
          <cell r="I12"/>
          <cell r="J12"/>
        </row>
        <row r="13">
          <cell r="C13">
            <v>18000</v>
          </cell>
          <cell r="D13">
            <v>27000</v>
          </cell>
          <cell r="E13">
            <v>18000</v>
          </cell>
          <cell r="F13">
            <v>18000</v>
          </cell>
          <cell r="G13">
            <v>9000</v>
          </cell>
          <cell r="H13">
            <v>0</v>
          </cell>
          <cell r="I13">
            <v>9000</v>
          </cell>
          <cell r="J13">
            <v>0</v>
          </cell>
        </row>
        <row r="14">
          <cell r="C14">
            <v>4500</v>
          </cell>
          <cell r="D14">
            <v>4500</v>
          </cell>
          <cell r="E14">
            <v>4500</v>
          </cell>
          <cell r="F14">
            <v>4500</v>
          </cell>
          <cell r="G14">
            <v>4500</v>
          </cell>
          <cell r="H14"/>
          <cell r="I14"/>
          <cell r="J14">
            <v>4500</v>
          </cell>
        </row>
        <row r="15">
          <cell r="C15">
            <v>1500</v>
          </cell>
          <cell r="D15">
            <v>1500</v>
          </cell>
          <cell r="E15">
            <v>1500</v>
          </cell>
          <cell r="F15">
            <v>0</v>
          </cell>
          <cell r="G15">
            <v>0</v>
          </cell>
          <cell r="H15"/>
          <cell r="I15"/>
          <cell r="J15"/>
        </row>
        <row r="16">
          <cell r="C16">
            <v>4500</v>
          </cell>
          <cell r="D16">
            <v>4500</v>
          </cell>
          <cell r="E16">
            <v>4500</v>
          </cell>
          <cell r="F16">
            <v>4500</v>
          </cell>
          <cell r="G16">
            <v>4500</v>
          </cell>
          <cell r="H16"/>
          <cell r="I16"/>
          <cell r="J16"/>
        </row>
        <row r="17">
          <cell r="C17">
            <v>31350</v>
          </cell>
          <cell r="D17">
            <v>15675</v>
          </cell>
          <cell r="E17">
            <v>15675</v>
          </cell>
          <cell r="F17">
            <v>31350</v>
          </cell>
          <cell r="G17">
            <v>15675</v>
          </cell>
          <cell r="H17">
            <v>0</v>
          </cell>
          <cell r="I17">
            <v>15675</v>
          </cell>
          <cell r="J17">
            <v>0</v>
          </cell>
        </row>
        <row r="18">
          <cell r="C18">
            <v>3000</v>
          </cell>
          <cell r="D18">
            <v>3000</v>
          </cell>
          <cell r="E18">
            <v>14000</v>
          </cell>
          <cell r="F18">
            <v>11000</v>
          </cell>
          <cell r="G18">
            <v>11000</v>
          </cell>
          <cell r="H18">
            <v>11000</v>
          </cell>
          <cell r="I18"/>
          <cell r="J18"/>
        </row>
        <row r="19">
          <cell r="C19">
            <v>0</v>
          </cell>
          <cell r="D19">
            <v>200</v>
          </cell>
          <cell r="E19">
            <v>200</v>
          </cell>
          <cell r="F19">
            <v>200</v>
          </cell>
          <cell r="G19">
            <v>201</v>
          </cell>
          <cell r="H19"/>
          <cell r="I19"/>
          <cell r="J19"/>
        </row>
        <row r="20">
          <cell r="C20">
            <v>0</v>
          </cell>
          <cell r="D20">
            <v>0</v>
          </cell>
          <cell r="E20">
            <v>200</v>
          </cell>
          <cell r="F20">
            <v>200</v>
          </cell>
          <cell r="G20">
            <v>200</v>
          </cell>
          <cell r="H20"/>
          <cell r="I20"/>
          <cell r="J20"/>
        </row>
        <row r="21">
          <cell r="C21">
            <v>0</v>
          </cell>
          <cell r="D21">
            <v>100</v>
          </cell>
          <cell r="E21">
            <v>100</v>
          </cell>
          <cell r="F21">
            <v>100</v>
          </cell>
          <cell r="G21">
            <v>101</v>
          </cell>
          <cell r="H21"/>
          <cell r="I21">
            <v>100</v>
          </cell>
          <cell r="J21"/>
        </row>
        <row r="22">
          <cell r="C22">
            <v>3000</v>
          </cell>
          <cell r="D22">
            <v>0</v>
          </cell>
          <cell r="E22">
            <v>2000</v>
          </cell>
          <cell r="F22">
            <v>2000</v>
          </cell>
          <cell r="G22">
            <v>2000</v>
          </cell>
          <cell r="H22">
            <v>2000</v>
          </cell>
          <cell r="I22"/>
          <cell r="J22"/>
        </row>
        <row r="23">
          <cell r="C23">
            <v>19800</v>
          </cell>
          <cell r="D23">
            <v>0</v>
          </cell>
          <cell r="E23">
            <v>0</v>
          </cell>
          <cell r="F23">
            <v>25170</v>
          </cell>
          <cell r="G23">
            <v>25170</v>
          </cell>
          <cell r="H23">
            <v>25170</v>
          </cell>
          <cell r="I23"/>
          <cell r="J23"/>
        </row>
        <row r="24">
          <cell r="C24">
            <v>40620</v>
          </cell>
          <cell r="D24">
            <v>930</v>
          </cell>
          <cell r="E24">
            <v>930</v>
          </cell>
          <cell r="F24">
            <v>35910</v>
          </cell>
          <cell r="G24">
            <v>35910</v>
          </cell>
          <cell r="H24">
            <v>35910</v>
          </cell>
          <cell r="I24">
            <v>0</v>
          </cell>
          <cell r="J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/>
          <cell r="I25"/>
          <cell r="J25"/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/>
          <cell r="I26"/>
          <cell r="J26"/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/>
          <cell r="I27"/>
          <cell r="J27"/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/>
          <cell r="I28"/>
          <cell r="J28"/>
        </row>
      </sheetData>
      <sheetData sheetId="3">
        <row r="3">
          <cell r="C3">
            <v>8623</v>
          </cell>
        </row>
        <row r="4">
          <cell r="C4">
            <v>1245</v>
          </cell>
        </row>
        <row r="5">
          <cell r="C5">
            <v>259</v>
          </cell>
        </row>
        <row r="6">
          <cell r="C6">
            <v>702</v>
          </cell>
        </row>
        <row r="7">
          <cell r="C7">
            <v>489</v>
          </cell>
        </row>
        <row r="8">
          <cell r="C8">
            <v>20801</v>
          </cell>
        </row>
        <row r="9">
          <cell r="C9">
            <v>8623</v>
          </cell>
        </row>
        <row r="10">
          <cell r="C10">
            <v>987</v>
          </cell>
        </row>
        <row r="11">
          <cell r="C11">
            <v>1522</v>
          </cell>
        </row>
        <row r="12">
          <cell r="C12">
            <v>19221</v>
          </cell>
        </row>
        <row r="13">
          <cell r="C13">
            <v>5231</v>
          </cell>
        </row>
        <row r="14">
          <cell r="C14">
            <v>3208</v>
          </cell>
        </row>
        <row r="15">
          <cell r="C15">
            <v>1257</v>
          </cell>
        </row>
        <row r="16">
          <cell r="C16">
            <v>3012</v>
          </cell>
        </row>
        <row r="17">
          <cell r="C17">
            <v>5231</v>
          </cell>
        </row>
        <row r="18">
          <cell r="C18">
            <v>3876</v>
          </cell>
        </row>
        <row r="19">
          <cell r="C19">
            <v>52</v>
          </cell>
        </row>
        <row r="20">
          <cell r="C20">
            <v>80</v>
          </cell>
        </row>
        <row r="21">
          <cell r="C21">
            <v>252</v>
          </cell>
        </row>
        <row r="22">
          <cell r="C22">
            <v>1863</v>
          </cell>
        </row>
        <row r="23">
          <cell r="C23">
            <v>896</v>
          </cell>
        </row>
        <row r="24">
          <cell r="C24">
            <v>1307</v>
          </cell>
        </row>
        <row r="25">
          <cell r="C25">
            <v>931</v>
          </cell>
        </row>
        <row r="26">
          <cell r="C26">
            <v>22803</v>
          </cell>
        </row>
        <row r="27">
          <cell r="C27">
            <v>103820</v>
          </cell>
        </row>
        <row r="28">
          <cell r="C28">
            <v>105931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28"/>
  <sheetViews>
    <sheetView workbookViewId="0">
      <selection activeCell="P5" sqref="P5"/>
    </sheetView>
  </sheetViews>
  <sheetFormatPr defaultRowHeight="15"/>
  <cols>
    <col min="4" max="4" width="11.140625" bestFit="1" customWidth="1"/>
    <col min="5" max="5" width="10.7109375" bestFit="1" customWidth="1"/>
    <col min="6" max="6" width="9.28515625" customWidth="1"/>
    <col min="10" max="10" width="8.28515625" style="17" customWidth="1"/>
    <col min="11" max="11" width="10" customWidth="1"/>
    <col min="12" max="12" width="10.5703125" customWidth="1"/>
    <col min="16" max="18" width="10.28515625" customWidth="1"/>
    <col min="19" max="19" width="10.7109375" customWidth="1"/>
  </cols>
  <sheetData>
    <row r="2" spans="1:19" ht="33">
      <c r="A2" s="1" t="s">
        <v>0</v>
      </c>
      <c r="B2" s="6" t="s">
        <v>1</v>
      </c>
      <c r="C2" s="11" t="s">
        <v>2</v>
      </c>
      <c r="D2" s="10" t="s">
        <v>3</v>
      </c>
      <c r="E2" s="12" t="s">
        <v>4</v>
      </c>
      <c r="F2" s="6" t="s">
        <v>5</v>
      </c>
      <c r="G2" s="6" t="s">
        <v>6</v>
      </c>
      <c r="H2" s="6" t="s">
        <v>7</v>
      </c>
      <c r="I2" s="18" t="s">
        <v>8</v>
      </c>
      <c r="J2" s="19" t="s">
        <v>9</v>
      </c>
      <c r="K2" s="6" t="s">
        <v>10</v>
      </c>
      <c r="L2" s="18" t="s">
        <v>11</v>
      </c>
      <c r="M2" s="20" t="s">
        <v>12</v>
      </c>
      <c r="N2" s="20" t="s">
        <v>13</v>
      </c>
      <c r="O2" s="20" t="s">
        <v>14</v>
      </c>
      <c r="P2" s="20" t="s">
        <v>15</v>
      </c>
      <c r="Q2" s="20" t="s">
        <v>16</v>
      </c>
      <c r="R2" s="20" t="s">
        <v>17</v>
      </c>
      <c r="S2" s="20" t="s">
        <v>18</v>
      </c>
    </row>
    <row r="3" spans="1:19">
      <c r="A3" s="2" t="s">
        <v>19</v>
      </c>
      <c r="B3" s="4">
        <v>850</v>
      </c>
      <c r="C3" s="9">
        <f>'[1]Buffer Summary'!$F3</f>
        <v>9705.8630864999996</v>
      </c>
      <c r="D3" s="8">
        <f>'[1]Buffer Summary'!$D3</f>
        <v>7764.6904691999998</v>
      </c>
      <c r="E3" s="7">
        <f>'[1]Buffer Summary'!$B3</f>
        <v>5546.2074779999994</v>
      </c>
      <c r="F3" s="13">
        <v>21</v>
      </c>
      <c r="G3" s="14">
        <f>C3</f>
        <v>9705.8630864999996</v>
      </c>
      <c r="H3" s="14">
        <f>C3+D3</f>
        <v>17470.5535557</v>
      </c>
      <c r="I3" s="15">
        <f>C3+D3+E3</f>
        <v>23016.761033700001</v>
      </c>
      <c r="J3" s="16">
        <f>'[2]On-Hand'!$C3</f>
        <v>8623</v>
      </c>
      <c r="K3" s="14">
        <f>'[2]On-Order'!$C3</f>
        <v>8926</v>
      </c>
      <c r="L3" s="14">
        <f>[2]Consume!$D3</f>
        <v>2351.6999999999998</v>
      </c>
      <c r="M3" s="14">
        <f>J3+K3-L3</f>
        <v>15197.3</v>
      </c>
      <c r="N3" s="33">
        <f>J3+[2]Arrival!$D3-[2]Consume!$D3</f>
        <v>11797.3</v>
      </c>
      <c r="O3" s="22">
        <f>M3/I3</f>
        <v>0.66027100762565449</v>
      </c>
      <c r="P3" s="14"/>
      <c r="Q3" s="14"/>
      <c r="R3" s="14"/>
      <c r="S3" s="14"/>
    </row>
    <row r="4" spans="1:19">
      <c r="A4" s="2" t="s">
        <v>20</v>
      </c>
      <c r="B4" s="4">
        <v>700</v>
      </c>
      <c r="C4" s="9">
        <f>'[1]Buffer Summary'!$F4</f>
        <v>1225</v>
      </c>
      <c r="D4" s="8">
        <f>'[1]Buffer Summary'!$D4</f>
        <v>511.33672799999994</v>
      </c>
      <c r="E4" s="7">
        <f>'[1]Buffer Summary'!$B4</f>
        <v>700</v>
      </c>
      <c r="F4" s="13">
        <v>21</v>
      </c>
      <c r="G4" s="14">
        <f t="shared" ref="G4:G28" si="0">C4</f>
        <v>1225</v>
      </c>
      <c r="H4" s="14">
        <f t="shared" ref="H4:H28" si="1">C4+D4</f>
        <v>1736.336728</v>
      </c>
      <c r="I4" s="15">
        <f t="shared" ref="I4:I28" si="2">C4+D4+E4</f>
        <v>2436.3367280000002</v>
      </c>
      <c r="J4" s="16">
        <f>'[2]On-Hand'!$C4</f>
        <v>1245</v>
      </c>
      <c r="K4" s="14">
        <f>'[2]On-Order'!$C4</f>
        <v>520</v>
      </c>
      <c r="L4" s="14">
        <f>[2]Consume!$D4</f>
        <v>171.9</v>
      </c>
      <c r="M4" s="14">
        <f t="shared" ref="M4:M28" si="3">J4+K4-L4</f>
        <v>1593.1</v>
      </c>
      <c r="N4" s="33">
        <f>J4+[2]Arrival!$D4-[2]Consume!$D4</f>
        <v>1073.0999999999999</v>
      </c>
      <c r="O4" s="22">
        <f t="shared" ref="O4:O28" si="4">M4/I4</f>
        <v>0.65389155024879619</v>
      </c>
      <c r="P4" s="14"/>
      <c r="Q4" s="14"/>
      <c r="R4" s="14"/>
      <c r="S4" s="14"/>
    </row>
    <row r="5" spans="1:19">
      <c r="A5" s="2" t="s">
        <v>21</v>
      </c>
      <c r="B5" s="4">
        <v>220</v>
      </c>
      <c r="C5" s="9">
        <f>'[1]Buffer Summary'!$F5</f>
        <v>399.88980499999997</v>
      </c>
      <c r="D5" s="8">
        <f>'[1]Buffer Summary'!$D5</f>
        <v>298.45594799999998</v>
      </c>
      <c r="E5" s="7">
        <f>'[1]Buffer Summary'!$B5</f>
        <v>228.50846000000001</v>
      </c>
      <c r="F5" s="13">
        <v>21</v>
      </c>
      <c r="G5" s="14">
        <f t="shared" si="0"/>
        <v>399.88980499999997</v>
      </c>
      <c r="H5" s="14">
        <f t="shared" si="1"/>
        <v>698.34575299999995</v>
      </c>
      <c r="I5" s="15">
        <f t="shared" si="2"/>
        <v>926.85421299999996</v>
      </c>
      <c r="J5" s="16">
        <f>'[2]On-Hand'!$C5</f>
        <v>259</v>
      </c>
      <c r="K5" s="14">
        <f>'[2]On-Order'!$C5</f>
        <v>440</v>
      </c>
      <c r="L5" s="14">
        <f>[2]Consume!$D5</f>
        <v>88.6</v>
      </c>
      <c r="M5" s="14">
        <f t="shared" si="3"/>
        <v>610.4</v>
      </c>
      <c r="N5" s="33">
        <f>J5+[2]Arrival!$D5-[2]Consume!$D5</f>
        <v>610.4</v>
      </c>
      <c r="O5" s="22">
        <f t="shared" si="4"/>
        <v>0.65857174886683068</v>
      </c>
      <c r="P5" s="14"/>
      <c r="Q5" s="14"/>
      <c r="R5" s="14"/>
      <c r="S5" s="14"/>
    </row>
    <row r="6" spans="1:19">
      <c r="A6" s="2" t="s">
        <v>22</v>
      </c>
      <c r="B6" s="4">
        <v>916</v>
      </c>
      <c r="C6" s="9">
        <f>'[1]Buffer Summary'!$F6</f>
        <v>5833.8262500000001</v>
      </c>
      <c r="D6" s="8">
        <f>'[1]Buffer Summary'!$D6</f>
        <v>4667.0609999999997</v>
      </c>
      <c r="E6" s="7">
        <f>'[1]Buffer Summary'!$B6</f>
        <v>3333.6149999999993</v>
      </c>
      <c r="F6" s="13">
        <v>21</v>
      </c>
      <c r="G6" s="14">
        <f t="shared" si="0"/>
        <v>5833.8262500000001</v>
      </c>
      <c r="H6" s="14">
        <f t="shared" si="1"/>
        <v>10500.88725</v>
      </c>
      <c r="I6" s="15">
        <f t="shared" si="2"/>
        <v>13834.50225</v>
      </c>
      <c r="J6" s="16">
        <f>'[2]On-Hand'!$C6</f>
        <v>702</v>
      </c>
      <c r="K6" s="14">
        <f>'[2]On-Order'!$C6</f>
        <v>8297</v>
      </c>
      <c r="L6" s="14">
        <f>[2]Consume!$D6</f>
        <v>1224.8</v>
      </c>
      <c r="M6" s="14">
        <f t="shared" si="3"/>
        <v>7774.2</v>
      </c>
      <c r="N6" s="33">
        <f>J6+[2]Arrival!$D6-[2]Consume!$D6</f>
        <v>2237.1999999999998</v>
      </c>
      <c r="O6" s="22">
        <f t="shared" si="4"/>
        <v>0.56194287727265357</v>
      </c>
      <c r="P6" s="14"/>
      <c r="Q6" s="14"/>
      <c r="R6" s="14"/>
      <c r="S6" s="14"/>
    </row>
    <row r="7" spans="1:19">
      <c r="A7" s="2" t="s">
        <v>23</v>
      </c>
      <c r="B7" s="4">
        <v>300</v>
      </c>
      <c r="C7" s="9">
        <f>'[1]Buffer Summary'!$F7</f>
        <v>1105.12941</v>
      </c>
      <c r="D7" s="8">
        <f>'[1]Buffer Summary'!$D7</f>
        <v>884.10352799999998</v>
      </c>
      <c r="E7" s="7">
        <f>'[1]Buffer Summary'!$B7</f>
        <v>631.50251999999989</v>
      </c>
      <c r="F7" s="13">
        <v>21</v>
      </c>
      <c r="G7" s="14">
        <f t="shared" si="0"/>
        <v>1105.12941</v>
      </c>
      <c r="H7" s="14">
        <f t="shared" si="1"/>
        <v>1989.2329380000001</v>
      </c>
      <c r="I7" s="15">
        <f t="shared" si="2"/>
        <v>2620.7354580000001</v>
      </c>
      <c r="J7" s="16">
        <f>'[2]On-Hand'!$C7</f>
        <v>489</v>
      </c>
      <c r="K7" s="14">
        <f>'[2]On-Order'!$C7</f>
        <v>1800</v>
      </c>
      <c r="L7" s="14">
        <f>[2]Consume!$D7</f>
        <v>364.4</v>
      </c>
      <c r="M7" s="14">
        <f t="shared" si="3"/>
        <v>1924.6</v>
      </c>
      <c r="N7" s="33">
        <f>J7+[2]Arrival!$D7-[2]Consume!$D7</f>
        <v>124.60000000000002</v>
      </c>
      <c r="O7" s="22">
        <f t="shared" si="4"/>
        <v>0.73437400716085544</v>
      </c>
      <c r="P7" s="14"/>
      <c r="Q7" s="14"/>
      <c r="R7" s="14"/>
      <c r="S7" s="14"/>
    </row>
    <row r="8" spans="1:19">
      <c r="A8" s="3" t="s">
        <v>24</v>
      </c>
      <c r="B8" s="4">
        <v>700</v>
      </c>
      <c r="C8" s="9">
        <f>'[1]Buffer Summary'!$F8</f>
        <v>14594.65</v>
      </c>
      <c r="D8" s="8">
        <f>'[1]Buffer Summary'!$D8</f>
        <v>25019.4</v>
      </c>
      <c r="E8" s="7">
        <f>'[1]Buffer Summary'!$B8</f>
        <v>8339.7999999999993</v>
      </c>
      <c r="F8" s="13">
        <v>21</v>
      </c>
      <c r="G8" s="14">
        <f t="shared" si="0"/>
        <v>14594.65</v>
      </c>
      <c r="H8" s="14">
        <f t="shared" si="1"/>
        <v>39614.050000000003</v>
      </c>
      <c r="I8" s="15">
        <f t="shared" si="2"/>
        <v>47953.850000000006</v>
      </c>
      <c r="J8" s="16">
        <f>'[2]On-Hand'!$C8</f>
        <v>20801</v>
      </c>
      <c r="K8" s="14">
        <f>'[2]On-Order'!$C8</f>
        <v>10500</v>
      </c>
      <c r="L8" s="14">
        <f>[2]Consume!$D8</f>
        <v>0</v>
      </c>
      <c r="M8" s="14">
        <f t="shared" si="3"/>
        <v>31301</v>
      </c>
      <c r="N8" s="33">
        <f>J8+[2]Arrival!$D8-[2]Consume!$D8</f>
        <v>31301</v>
      </c>
      <c r="O8" s="22">
        <f t="shared" si="4"/>
        <v>0.65273174103851928</v>
      </c>
      <c r="P8" s="14"/>
      <c r="Q8" s="14"/>
      <c r="R8" s="14"/>
      <c r="S8" s="14"/>
    </row>
    <row r="9" spans="1:19">
      <c r="A9" s="3" t="s">
        <v>25</v>
      </c>
      <c r="B9" s="4">
        <v>850</v>
      </c>
      <c r="C9" s="9">
        <f>'[1]Buffer Summary'!$F9</f>
        <v>9705.8630864999996</v>
      </c>
      <c r="D9" s="8">
        <f>'[1]Buffer Summary'!$D9</f>
        <v>7764.6904691999998</v>
      </c>
      <c r="E9" s="7">
        <f>'[1]Buffer Summary'!$B9</f>
        <v>5546.2074779999994</v>
      </c>
      <c r="F9" s="13">
        <v>21</v>
      </c>
      <c r="G9" s="14">
        <f t="shared" si="0"/>
        <v>9705.8630864999996</v>
      </c>
      <c r="H9" s="14">
        <f t="shared" si="1"/>
        <v>17470.5535557</v>
      </c>
      <c r="I9" s="15">
        <f t="shared" si="2"/>
        <v>23016.761033700001</v>
      </c>
      <c r="J9" s="16">
        <f>'[2]On-Hand'!$C9</f>
        <v>8623</v>
      </c>
      <c r="K9" s="14">
        <f>'[2]On-Order'!$C9</f>
        <v>8926</v>
      </c>
      <c r="L9" s="14">
        <f>[2]Consume!$D9</f>
        <v>2351.6999999999998</v>
      </c>
      <c r="M9" s="14">
        <f t="shared" si="3"/>
        <v>15197.3</v>
      </c>
      <c r="N9" s="33">
        <f>J9+[2]Arrival!$D9-[2]Consume!$D9</f>
        <v>11797.3</v>
      </c>
      <c r="O9" s="22">
        <f t="shared" si="4"/>
        <v>0.66027100762565449</v>
      </c>
      <c r="P9" s="14"/>
      <c r="Q9" s="14"/>
      <c r="R9" s="14"/>
      <c r="S9" s="14"/>
    </row>
    <row r="10" spans="1:19">
      <c r="A10" s="3" t="s">
        <v>26</v>
      </c>
      <c r="B10" s="5">
        <v>6272</v>
      </c>
      <c r="C10" s="9">
        <f>'[1]Buffer Summary'!$F10</f>
        <v>10976</v>
      </c>
      <c r="D10" s="8">
        <f>'[1]Buffer Summary'!$D10</f>
        <v>876.23199999999997</v>
      </c>
      <c r="E10" s="7">
        <f>'[1]Buffer Summary'!$B10</f>
        <v>6272</v>
      </c>
      <c r="F10" s="13">
        <v>21</v>
      </c>
      <c r="G10" s="14">
        <f t="shared" si="0"/>
        <v>10976</v>
      </c>
      <c r="H10" s="14">
        <f t="shared" si="1"/>
        <v>11852.232</v>
      </c>
      <c r="I10" s="15">
        <f t="shared" si="2"/>
        <v>18124.232</v>
      </c>
      <c r="J10" s="16">
        <f>'[2]On-Hand'!$C10</f>
        <v>987</v>
      </c>
      <c r="K10" s="14">
        <f>'[2]On-Order'!$C10</f>
        <v>0</v>
      </c>
      <c r="L10" s="14">
        <f>[2]Consume!$D10</f>
        <v>200</v>
      </c>
      <c r="M10" s="14">
        <f t="shared" si="3"/>
        <v>787</v>
      </c>
      <c r="N10" s="33">
        <f>J10+[2]Arrival!$D10-[2]Consume!$D10</f>
        <v>787</v>
      </c>
      <c r="O10" s="22">
        <f t="shared" si="4"/>
        <v>4.3422529572563408E-2</v>
      </c>
      <c r="P10" s="23">
        <f t="shared" ref="P10:P24" si="5">I10-M10</f>
        <v>17337.232</v>
      </c>
      <c r="Q10" s="23">
        <f>B10*3</f>
        <v>18816</v>
      </c>
      <c r="R10" s="23" t="s">
        <v>27</v>
      </c>
      <c r="S10" s="24">
        <f>P10/Q10</f>
        <v>0.92140901360544214</v>
      </c>
    </row>
    <row r="11" spans="1:19">
      <c r="A11" s="3" t="s">
        <v>28</v>
      </c>
      <c r="B11" s="5">
        <v>6400</v>
      </c>
      <c r="C11" s="9">
        <f>'[1]Buffer Summary'!$F11</f>
        <v>11200</v>
      </c>
      <c r="D11" s="8">
        <f>'[1]Buffer Summary'!$D11</f>
        <v>882.952</v>
      </c>
      <c r="E11" s="7">
        <f>'[1]Buffer Summary'!$B11</f>
        <v>6400</v>
      </c>
      <c r="F11" s="13">
        <v>21</v>
      </c>
      <c r="G11" s="14">
        <f t="shared" si="0"/>
        <v>11200</v>
      </c>
      <c r="H11" s="14">
        <f t="shared" si="1"/>
        <v>12082.951999999999</v>
      </c>
      <c r="I11" s="15">
        <f t="shared" si="2"/>
        <v>18482.951999999997</v>
      </c>
      <c r="J11" s="16">
        <f>'[2]On-Hand'!$C11</f>
        <v>1522</v>
      </c>
      <c r="K11" s="14">
        <f>'[2]On-Order'!$C11</f>
        <v>0</v>
      </c>
      <c r="L11" s="14">
        <f>[2]Consume!$D11</f>
        <v>198</v>
      </c>
      <c r="M11" s="14">
        <f t="shared" si="3"/>
        <v>1324</v>
      </c>
      <c r="N11" s="33">
        <f>J11+[2]Arrival!$D11-[2]Consume!$D11</f>
        <v>1324</v>
      </c>
      <c r="O11" s="22">
        <f t="shared" si="4"/>
        <v>7.1633578878525478E-2</v>
      </c>
      <c r="P11" s="23">
        <f t="shared" si="5"/>
        <v>17158.951999999997</v>
      </c>
      <c r="Q11" s="23">
        <f>B11*3</f>
        <v>19200</v>
      </c>
      <c r="R11" s="23" t="s">
        <v>27</v>
      </c>
      <c r="S11" s="24">
        <f t="shared" ref="S11:S12" si="6">P11/Q11</f>
        <v>0.89369541666666652</v>
      </c>
    </row>
    <row r="12" spans="1:19">
      <c r="A12" s="3" t="s">
        <v>29</v>
      </c>
      <c r="B12" s="5">
        <v>50000</v>
      </c>
      <c r="C12" s="9">
        <f>'[1]Buffer Summary'!$F12</f>
        <v>87500</v>
      </c>
      <c r="D12" s="8">
        <f>'[1]Buffer Summary'!$D12</f>
        <v>9435.8879999999972</v>
      </c>
      <c r="E12" s="7">
        <f>'[1]Buffer Summary'!$B12</f>
        <v>50000</v>
      </c>
      <c r="F12" s="13">
        <v>21</v>
      </c>
      <c r="G12" s="14">
        <f t="shared" si="0"/>
        <v>87500</v>
      </c>
      <c r="H12" s="14">
        <f t="shared" si="1"/>
        <v>96935.887999999992</v>
      </c>
      <c r="I12" s="15">
        <f t="shared" si="2"/>
        <v>146935.88799999998</v>
      </c>
      <c r="J12" s="16">
        <f>'[2]On-Hand'!$C12</f>
        <v>19221</v>
      </c>
      <c r="K12" s="14">
        <f>'[2]On-Order'!$C12</f>
        <v>0</v>
      </c>
      <c r="L12" s="14">
        <f>[2]Consume!$D12</f>
        <v>3521</v>
      </c>
      <c r="M12" s="14">
        <f t="shared" si="3"/>
        <v>15700</v>
      </c>
      <c r="N12" s="33">
        <f>J12+[2]Arrival!$D12-[2]Consume!$D12</f>
        <v>15700</v>
      </c>
      <c r="O12" s="22">
        <f t="shared" si="4"/>
        <v>0.10684932193011963</v>
      </c>
      <c r="P12" s="23">
        <f t="shared" si="5"/>
        <v>131235.88799999998</v>
      </c>
      <c r="Q12" s="23">
        <f>B12*3</f>
        <v>150000</v>
      </c>
      <c r="R12" s="23" t="s">
        <v>27</v>
      </c>
      <c r="S12" s="24">
        <f t="shared" si="6"/>
        <v>0.87490591999999989</v>
      </c>
    </row>
    <row r="13" spans="1:19">
      <c r="A13" s="3" t="s">
        <v>30</v>
      </c>
      <c r="B13" s="4">
        <v>450</v>
      </c>
      <c r="C13" s="9">
        <f>'[1]Buffer Summary'!$F13</f>
        <v>22731.4986899</v>
      </c>
      <c r="D13" s="8">
        <f>'[1]Buffer Summary'!$D13</f>
        <v>18185.19895192</v>
      </c>
      <c r="E13" s="7">
        <f>'[1]Buffer Summary'!$B13</f>
        <v>12989.427822799998</v>
      </c>
      <c r="F13" s="13">
        <v>21</v>
      </c>
      <c r="G13" s="14">
        <f t="shared" si="0"/>
        <v>22731.4986899</v>
      </c>
      <c r="H13" s="14">
        <f t="shared" si="1"/>
        <v>40916.697641819999</v>
      </c>
      <c r="I13" s="15">
        <f t="shared" si="2"/>
        <v>53906.125464619996</v>
      </c>
      <c r="J13" s="16">
        <f>'[2]On-Hand'!$C13</f>
        <v>5231</v>
      </c>
      <c r="K13" s="14">
        <f>'[2]On-Order'!$C13</f>
        <v>18000</v>
      </c>
      <c r="L13" s="14">
        <f>[2]Consume!$D13</f>
        <v>3973.3</v>
      </c>
      <c r="M13" s="14">
        <f t="shared" si="3"/>
        <v>19257.7</v>
      </c>
      <c r="N13" s="33">
        <f>J13+[2]Arrival!$D13-[2]Consume!$D13</f>
        <v>1257.6999999999998</v>
      </c>
      <c r="O13" s="22">
        <f t="shared" si="4"/>
        <v>0.35724511517043334</v>
      </c>
      <c r="P13" s="14"/>
      <c r="Q13" s="14"/>
      <c r="R13" s="14"/>
      <c r="S13" s="14"/>
    </row>
    <row r="14" spans="1:19">
      <c r="A14" s="3" t="s">
        <v>31</v>
      </c>
      <c r="B14" s="4">
        <v>750</v>
      </c>
      <c r="C14" s="9">
        <f>'[1]Buffer Summary'!$F14</f>
        <v>4069.1037274999994</v>
      </c>
      <c r="D14" s="8">
        <f>'[1]Buffer Summary'!$D14</f>
        <v>3255.2829820000006</v>
      </c>
      <c r="E14" s="7">
        <f>'[1]Buffer Summary'!$B14</f>
        <v>2325.2021299999997</v>
      </c>
      <c r="F14" s="13">
        <v>21</v>
      </c>
      <c r="G14" s="14">
        <f t="shared" si="0"/>
        <v>4069.1037274999994</v>
      </c>
      <c r="H14" s="14">
        <f t="shared" si="1"/>
        <v>7324.3867095000005</v>
      </c>
      <c r="I14" s="15">
        <f t="shared" si="2"/>
        <v>9649.5888395000002</v>
      </c>
      <c r="J14" s="16">
        <f>'[2]On-Hand'!$C14</f>
        <v>3208</v>
      </c>
      <c r="K14" s="14">
        <f>'[2]On-Order'!$C14</f>
        <v>4500</v>
      </c>
      <c r="L14" s="14">
        <f>[2]Consume!$D14</f>
        <v>996.4</v>
      </c>
      <c r="M14" s="14">
        <f t="shared" si="3"/>
        <v>6711.6</v>
      </c>
      <c r="N14" s="33">
        <f>J14+[2]Arrival!$D14-[2]Consume!$D14</f>
        <v>2211.6</v>
      </c>
      <c r="O14" s="22">
        <f t="shared" si="4"/>
        <v>0.69553222542772775</v>
      </c>
      <c r="P14" s="14"/>
      <c r="Q14" s="14"/>
      <c r="R14" s="14"/>
      <c r="S14" s="14"/>
    </row>
    <row r="15" spans="1:19">
      <c r="A15" s="3" t="s">
        <v>32</v>
      </c>
      <c r="B15" s="4">
        <v>700</v>
      </c>
      <c r="C15" s="9">
        <f>'[1]Buffer Summary'!$F15</f>
        <v>1666.2783549999999</v>
      </c>
      <c r="D15" s="8">
        <f>'[1]Buffer Summary'!$D15</f>
        <v>1307.794124</v>
      </c>
      <c r="E15" s="7">
        <f>'[1]Buffer Summary'!$B15</f>
        <v>952.15905999999995</v>
      </c>
      <c r="F15" s="13">
        <v>21</v>
      </c>
      <c r="G15" s="14">
        <f t="shared" si="0"/>
        <v>1666.2783549999999</v>
      </c>
      <c r="H15" s="14">
        <f t="shared" si="1"/>
        <v>2974.0724789999999</v>
      </c>
      <c r="I15" s="15">
        <f t="shared" si="2"/>
        <v>3926.2315389999999</v>
      </c>
      <c r="J15" s="16">
        <f>'[2]On-Hand'!$C15</f>
        <v>1257</v>
      </c>
      <c r="K15" s="14">
        <f>'[2]On-Order'!$C15</f>
        <v>1500</v>
      </c>
      <c r="L15" s="14">
        <f>[2]Consume!$D15</f>
        <v>468.1</v>
      </c>
      <c r="M15" s="14">
        <f t="shared" si="3"/>
        <v>2288.9</v>
      </c>
      <c r="N15" s="33">
        <f>J15+[2]Arrival!$D15-[2]Consume!$D15</f>
        <v>788.9</v>
      </c>
      <c r="O15" s="22">
        <f t="shared" si="4"/>
        <v>0.58297631641535241</v>
      </c>
      <c r="P15" s="14"/>
      <c r="Q15" s="14"/>
      <c r="R15" s="14"/>
      <c r="S15" s="14"/>
    </row>
    <row r="16" spans="1:19">
      <c r="A16" s="3" t="s">
        <v>33</v>
      </c>
      <c r="B16" s="4">
        <v>750</v>
      </c>
      <c r="C16" s="9">
        <f>'[1]Buffer Summary'!$F16</f>
        <v>2259.6644349999997</v>
      </c>
      <c r="D16" s="8">
        <f>'[1]Buffer Summary'!$D16</f>
        <v>1807.7315480000002</v>
      </c>
      <c r="E16" s="7">
        <f>'[1]Buffer Summary'!$B16</f>
        <v>1291.2368199999999</v>
      </c>
      <c r="F16" s="13">
        <v>21</v>
      </c>
      <c r="G16" s="14">
        <f t="shared" si="0"/>
        <v>2259.6644349999997</v>
      </c>
      <c r="H16" s="14">
        <f t="shared" si="1"/>
        <v>4067.3959829999999</v>
      </c>
      <c r="I16" s="15">
        <f t="shared" si="2"/>
        <v>5358.6328029999995</v>
      </c>
      <c r="J16" s="16">
        <f>'[2]On-Hand'!$C16</f>
        <v>3012</v>
      </c>
      <c r="K16" s="14">
        <f>'[2]On-Order'!$C16</f>
        <v>4500</v>
      </c>
      <c r="L16" s="14">
        <f>[2]Consume!$D16</f>
        <v>535.29999999999995</v>
      </c>
      <c r="M16" s="14">
        <f t="shared" si="3"/>
        <v>6976.7</v>
      </c>
      <c r="N16" s="33">
        <f>J16+[2]Arrival!$D16-[2]Consume!$D16</f>
        <v>2476.6999999999998</v>
      </c>
      <c r="O16" s="22">
        <f t="shared" si="4"/>
        <v>1.3019552293439727</v>
      </c>
      <c r="P16" s="14"/>
      <c r="Q16" s="14"/>
      <c r="R16" s="14"/>
      <c r="S16" s="14"/>
    </row>
    <row r="17" spans="1:19">
      <c r="A17" s="3" t="s">
        <v>34</v>
      </c>
      <c r="B17" s="5">
        <v>2475</v>
      </c>
      <c r="C17" s="9">
        <f>'[1]Buffer Summary'!$F17</f>
        <v>29302.883610000001</v>
      </c>
      <c r="D17" s="8">
        <f>'[1]Buffer Summary'!$D17</f>
        <v>23442.306887999999</v>
      </c>
      <c r="E17" s="7">
        <f>'[1]Buffer Summary'!$B17</f>
        <v>16744.504919999999</v>
      </c>
      <c r="F17" s="13">
        <v>21</v>
      </c>
      <c r="G17" s="14">
        <f t="shared" si="0"/>
        <v>29302.883610000001</v>
      </c>
      <c r="H17" s="14">
        <f t="shared" si="1"/>
        <v>52745.190497999996</v>
      </c>
      <c r="I17" s="15">
        <f t="shared" si="2"/>
        <v>69489.695417999988</v>
      </c>
      <c r="J17" s="16">
        <f>'[2]On-Hand'!$C17</f>
        <v>5231</v>
      </c>
      <c r="K17" s="14">
        <f>'[2]On-Order'!$C17</f>
        <v>31350</v>
      </c>
      <c r="L17" s="14">
        <f>[2]Consume!$D17</f>
        <v>1978.3</v>
      </c>
      <c r="M17" s="14">
        <f t="shared" si="3"/>
        <v>34602.699999999997</v>
      </c>
      <c r="N17" s="33">
        <f>J17+[2]Arrival!$D17-[2]Consume!$D17</f>
        <v>34602.699999999997</v>
      </c>
      <c r="O17" s="22">
        <f t="shared" si="4"/>
        <v>0.49795440592817486</v>
      </c>
      <c r="P17" s="14"/>
      <c r="Q17" s="14"/>
      <c r="R17" s="14"/>
      <c r="S17" s="14"/>
    </row>
    <row r="18" spans="1:19">
      <c r="A18" s="3" t="s">
        <v>35</v>
      </c>
      <c r="B18" s="5">
        <v>1000</v>
      </c>
      <c r="C18" s="9">
        <f>'[1]Buffer Summary'!$F18</f>
        <v>4449.3902600000001</v>
      </c>
      <c r="D18" s="8">
        <f>'[1]Buffer Summary'!$D18</f>
        <v>3559.5122080000001</v>
      </c>
      <c r="E18" s="7">
        <f>'[1]Buffer Summary'!$B18</f>
        <v>2542.5087199999994</v>
      </c>
      <c r="F18" s="13">
        <v>21</v>
      </c>
      <c r="G18" s="14">
        <f t="shared" si="0"/>
        <v>4449.3902600000001</v>
      </c>
      <c r="H18" s="14">
        <f t="shared" si="1"/>
        <v>8008.9024680000002</v>
      </c>
      <c r="I18" s="15">
        <f t="shared" si="2"/>
        <v>10551.411188</v>
      </c>
      <c r="J18" s="16">
        <f>'[2]On-Hand'!$C18</f>
        <v>3876</v>
      </c>
      <c r="K18" s="14">
        <f>'[2]On-Order'!$C18</f>
        <v>3000</v>
      </c>
      <c r="L18" s="14">
        <f>[2]Consume!$D18</f>
        <v>896.4</v>
      </c>
      <c r="M18" s="14">
        <f t="shared" si="3"/>
        <v>5979.6</v>
      </c>
      <c r="N18" s="33">
        <f>J18+[2]Arrival!$D18-[2]Consume!$D18</f>
        <v>2979.6</v>
      </c>
      <c r="O18" s="22">
        <f t="shared" si="4"/>
        <v>0.56671092553008751</v>
      </c>
      <c r="P18" s="14"/>
      <c r="Q18" s="14"/>
      <c r="R18" s="14"/>
      <c r="S18" s="14"/>
    </row>
    <row r="19" spans="1:19">
      <c r="A19" s="3" t="s">
        <v>36</v>
      </c>
      <c r="B19" s="4">
        <v>20</v>
      </c>
      <c r="C19" s="9">
        <f>'[1]Buffer Summary'!$F19</f>
        <v>35.079274999999996</v>
      </c>
      <c r="D19" s="8">
        <f>'[1]Buffer Summary'!$D19</f>
        <v>37.999866666666662</v>
      </c>
      <c r="E19" s="7">
        <f>'[1]Buffer Summary'!$B19</f>
        <v>20.045300000000001</v>
      </c>
      <c r="F19" s="13">
        <v>44</v>
      </c>
      <c r="G19" s="14">
        <f t="shared" si="0"/>
        <v>35.079274999999996</v>
      </c>
      <c r="H19" s="14">
        <f t="shared" si="1"/>
        <v>73.079141666666658</v>
      </c>
      <c r="I19" s="15">
        <f t="shared" si="2"/>
        <v>93.124441666666655</v>
      </c>
      <c r="J19" s="16">
        <f>'[2]On-Hand'!$C19</f>
        <v>52</v>
      </c>
      <c r="K19" s="14">
        <f>'[2]On-Order'!$C19</f>
        <v>0</v>
      </c>
      <c r="L19" s="14">
        <f>[2]Consume!$D19</f>
        <v>4.5</v>
      </c>
      <c r="M19" s="14">
        <f t="shared" si="3"/>
        <v>47.5</v>
      </c>
      <c r="N19" s="33">
        <f>J19+[2]Arrival!$D19-[2]Consume!$D19</f>
        <v>47.5</v>
      </c>
      <c r="O19" s="22">
        <f t="shared" si="4"/>
        <v>0.51007017223280005</v>
      </c>
      <c r="P19" s="14"/>
      <c r="Q19" s="14"/>
      <c r="R19" s="14"/>
      <c r="S19" s="14"/>
    </row>
    <row r="20" spans="1:19">
      <c r="A20" s="3" t="s">
        <v>37</v>
      </c>
      <c r="B20" s="4">
        <v>15</v>
      </c>
      <c r="C20" s="9">
        <f>'[1]Buffer Summary'!$F20</f>
        <v>51.674885500000002</v>
      </c>
      <c r="D20" s="8">
        <f>'[1]Buffer Summary'!$D20</f>
        <v>41.339908400000006</v>
      </c>
      <c r="E20" s="7">
        <f>'[1]Buffer Summary'!$B20</f>
        <v>29.528506000000004</v>
      </c>
      <c r="F20" s="13">
        <v>21</v>
      </c>
      <c r="G20" s="14">
        <f t="shared" si="0"/>
        <v>51.674885500000002</v>
      </c>
      <c r="H20" s="14">
        <f t="shared" si="1"/>
        <v>93.014793900000001</v>
      </c>
      <c r="I20" s="15">
        <f t="shared" si="2"/>
        <v>122.54329990000001</v>
      </c>
      <c r="J20" s="16">
        <f>'[2]On-Hand'!$C20</f>
        <v>80</v>
      </c>
      <c r="K20" s="14">
        <f>'[2]On-Order'!$C20</f>
        <v>0</v>
      </c>
      <c r="L20" s="14">
        <f>[2]Consume!$D20</f>
        <v>9.6</v>
      </c>
      <c r="M20" s="14">
        <f t="shared" si="3"/>
        <v>70.400000000000006</v>
      </c>
      <c r="N20" s="33">
        <f>J20+[2]Arrival!$D20-[2]Consume!$D20</f>
        <v>70.400000000000006</v>
      </c>
      <c r="O20" s="22">
        <f t="shared" si="4"/>
        <v>0.57449081310401373</v>
      </c>
      <c r="P20" s="14"/>
      <c r="Q20" s="14"/>
      <c r="R20" s="14"/>
      <c r="S20" s="14"/>
    </row>
    <row r="21" spans="1:19">
      <c r="A21" s="3" t="s">
        <v>38</v>
      </c>
      <c r="B21" s="4">
        <v>20</v>
      </c>
      <c r="C21" s="9">
        <f>'[1]Buffer Summary'!$F21</f>
        <v>78.086971199999979</v>
      </c>
      <c r="D21" s="8">
        <f>'[1]Buffer Summary'!$D21</f>
        <v>130.88863743999997</v>
      </c>
      <c r="E21" s="7">
        <f>'[1]Buffer Summary'!$B21</f>
        <v>44.621126399999994</v>
      </c>
      <c r="F21" s="13">
        <v>44</v>
      </c>
      <c r="G21" s="14">
        <f t="shared" si="0"/>
        <v>78.086971199999979</v>
      </c>
      <c r="H21" s="14">
        <f t="shared" si="1"/>
        <v>208.97560863999996</v>
      </c>
      <c r="I21" s="15">
        <f t="shared" si="2"/>
        <v>253.59673503999994</v>
      </c>
      <c r="J21" s="16">
        <f>'[2]On-Hand'!$C21</f>
        <v>252</v>
      </c>
      <c r="K21" s="14">
        <f>'[2]On-Order'!$C21</f>
        <v>0</v>
      </c>
      <c r="L21" s="14">
        <f>[2]Consume!$D21</f>
        <v>12.4</v>
      </c>
      <c r="M21" s="14">
        <f t="shared" si="3"/>
        <v>239.6</v>
      </c>
      <c r="N21" s="33">
        <f>J21+[2]Arrival!$D21-[2]Consume!$D21</f>
        <v>239.6</v>
      </c>
      <c r="O21" s="22">
        <f t="shared" si="4"/>
        <v>0.94480711655143257</v>
      </c>
      <c r="P21" s="14"/>
      <c r="Q21" s="14"/>
      <c r="R21" s="14"/>
      <c r="S21" s="14"/>
    </row>
    <row r="22" spans="1:19">
      <c r="A22" s="3" t="s">
        <v>39</v>
      </c>
      <c r="B22" s="5">
        <v>1000</v>
      </c>
      <c r="C22" s="9">
        <f>'[1]Buffer Summary'!$F22</f>
        <v>2019.8313333333331</v>
      </c>
      <c r="D22" s="8">
        <f>'[1]Buffer Summary'!$D22</f>
        <v>2912.6439999999998</v>
      </c>
      <c r="E22" s="7">
        <f>'[1]Buffer Summary'!$B22</f>
        <v>1154.1893333333333</v>
      </c>
      <c r="F22" s="13">
        <v>21</v>
      </c>
      <c r="G22" s="14">
        <f t="shared" si="0"/>
        <v>2019.8313333333331</v>
      </c>
      <c r="H22" s="14">
        <f t="shared" si="1"/>
        <v>4932.4753333333329</v>
      </c>
      <c r="I22" s="15">
        <f t="shared" si="2"/>
        <v>6086.6646666666657</v>
      </c>
      <c r="J22" s="16">
        <f>'[2]On-Hand'!$C22</f>
        <v>1863</v>
      </c>
      <c r="K22" s="14">
        <f>'[2]On-Order'!$C22</f>
        <v>3000</v>
      </c>
      <c r="L22" s="14">
        <f>[2]Consume!$D22</f>
        <v>1081</v>
      </c>
      <c r="M22" s="14">
        <f t="shared" si="3"/>
        <v>3782</v>
      </c>
      <c r="N22" s="33">
        <f>J22+[2]Arrival!$D22-[2]Consume!$D22</f>
        <v>3782</v>
      </c>
      <c r="O22" s="22">
        <f t="shared" si="4"/>
        <v>0.62135836408270462</v>
      </c>
      <c r="P22" s="14"/>
      <c r="Q22" s="14"/>
      <c r="R22" s="14"/>
      <c r="S22" s="14"/>
    </row>
    <row r="23" spans="1:19">
      <c r="A23" s="3" t="s">
        <v>40</v>
      </c>
      <c r="B23" s="4">
        <v>990</v>
      </c>
      <c r="C23" s="9">
        <f>'[1]Buffer Summary'!$F23</f>
        <v>60066.551999999989</v>
      </c>
      <c r="D23" s="8">
        <f>'[1]Buffer Summary'!$D23</f>
        <v>13348.122666666666</v>
      </c>
      <c r="E23" s="7">
        <f>'[1]Buffer Summary'!$B23</f>
        <v>40044.367999999995</v>
      </c>
      <c r="F23" s="13">
        <v>14</v>
      </c>
      <c r="G23" s="14">
        <f t="shared" si="0"/>
        <v>60066.551999999989</v>
      </c>
      <c r="H23" s="14">
        <f t="shared" si="1"/>
        <v>73414.674666666659</v>
      </c>
      <c r="I23" s="15">
        <f t="shared" si="2"/>
        <v>113459.04266666665</v>
      </c>
      <c r="J23" s="16">
        <f>'[2]On-Hand'!$C23</f>
        <v>896</v>
      </c>
      <c r="K23" s="14">
        <f>'[2]On-Order'!$C23</f>
        <v>19800</v>
      </c>
      <c r="L23" s="14">
        <f>[2]Consume!$D23</f>
        <v>4660</v>
      </c>
      <c r="M23" s="14">
        <f t="shared" si="3"/>
        <v>16036</v>
      </c>
      <c r="N23" s="33">
        <f>J23+[2]Arrival!$D23-[2]Consume!$D23</f>
        <v>16036</v>
      </c>
      <c r="O23" s="22">
        <f t="shared" si="4"/>
        <v>0.1413373462625844</v>
      </c>
      <c r="P23" s="23">
        <f t="shared" si="5"/>
        <v>97423.042666666646</v>
      </c>
      <c r="Q23" s="23">
        <f>B23*108</f>
        <v>106920</v>
      </c>
      <c r="R23" s="23" t="s">
        <v>27</v>
      </c>
      <c r="S23" s="24">
        <f>P23/Q23</f>
        <v>0.91117697967327582</v>
      </c>
    </row>
    <row r="24" spans="1:19">
      <c r="A24" s="3" t="s">
        <v>41</v>
      </c>
      <c r="B24" s="4">
        <v>990</v>
      </c>
      <c r="C24" s="9">
        <f>'[1]Buffer Summary'!$F24</f>
        <v>107959.068</v>
      </c>
      <c r="D24" s="8">
        <f>'[1]Buffer Summary'!$D24</f>
        <v>23990.904000000002</v>
      </c>
      <c r="E24" s="7">
        <f>'[1]Buffer Summary'!$B24</f>
        <v>71972.712</v>
      </c>
      <c r="F24" s="13">
        <v>14</v>
      </c>
      <c r="G24" s="14">
        <f t="shared" si="0"/>
        <v>107959.068</v>
      </c>
      <c r="H24" s="14">
        <f t="shared" si="1"/>
        <v>131949.97200000001</v>
      </c>
      <c r="I24" s="15">
        <f t="shared" si="2"/>
        <v>203922.68400000001</v>
      </c>
      <c r="J24" s="16">
        <f>'[2]On-Hand'!$C24</f>
        <v>1307</v>
      </c>
      <c r="K24" s="14">
        <f>'[2]On-Order'!$C24</f>
        <v>40620</v>
      </c>
      <c r="L24" s="14">
        <f>[2]Consume!$D24</f>
        <v>8580</v>
      </c>
      <c r="M24" s="14">
        <f t="shared" si="3"/>
        <v>33347</v>
      </c>
      <c r="N24" s="33">
        <f>J24+[2]Arrival!$D24-[2]Consume!$D24</f>
        <v>32417</v>
      </c>
      <c r="O24" s="22">
        <f t="shared" si="4"/>
        <v>0.1635276632588849</v>
      </c>
      <c r="P24" s="23">
        <f t="shared" si="5"/>
        <v>170575.68400000001</v>
      </c>
      <c r="Q24" s="23">
        <f>B24*206</f>
        <v>203940</v>
      </c>
      <c r="R24" s="23" t="s">
        <v>27</v>
      </c>
      <c r="S24" s="24">
        <f t="shared" ref="S24" si="7">P24/Q24</f>
        <v>0.83640131411199381</v>
      </c>
    </row>
    <row r="25" spans="1:19">
      <c r="A25" s="3" t="s">
        <v>42</v>
      </c>
      <c r="B25" s="4">
        <v>202</v>
      </c>
      <c r="C25" s="9">
        <f>'[1]Buffer Summary'!$F25</f>
        <v>1135.0720919999999</v>
      </c>
      <c r="D25" s="8">
        <f>'[1]Buffer Summary'!$D25</f>
        <v>252.23824266666665</v>
      </c>
      <c r="E25" s="7">
        <f>'[1]Buffer Summary'!$B25</f>
        <v>756.71472799999992</v>
      </c>
      <c r="F25" s="13">
        <v>14</v>
      </c>
      <c r="G25" s="14">
        <f t="shared" si="0"/>
        <v>1135.0720919999999</v>
      </c>
      <c r="H25" s="14">
        <f t="shared" si="1"/>
        <v>1387.3103346666664</v>
      </c>
      <c r="I25" s="15">
        <f t="shared" si="2"/>
        <v>2144.0250626666666</v>
      </c>
      <c r="J25" s="16">
        <f>'[2]On-Hand'!$C25</f>
        <v>931</v>
      </c>
      <c r="K25" s="14">
        <f>'[2]On-Order'!$C25</f>
        <v>0</v>
      </c>
      <c r="L25" s="14">
        <f>[2]Consume!$D25</f>
        <v>97.8</v>
      </c>
      <c r="M25" s="14">
        <f t="shared" si="3"/>
        <v>833.2</v>
      </c>
      <c r="N25" s="33">
        <f>J25+[2]Arrival!$D25-[2]Consume!$D25</f>
        <v>833.2</v>
      </c>
      <c r="O25" s="22">
        <f t="shared" si="4"/>
        <v>0.38861486020303038</v>
      </c>
      <c r="P25" s="14"/>
      <c r="Q25" s="14"/>
      <c r="R25" s="14"/>
      <c r="S25" s="22"/>
    </row>
    <row r="26" spans="1:19">
      <c r="A26" s="3" t="s">
        <v>43</v>
      </c>
      <c r="B26" s="5">
        <v>1300</v>
      </c>
      <c r="C26" s="9">
        <f>'[1]Buffer Summary'!$F26</f>
        <v>16720.871999999996</v>
      </c>
      <c r="D26" s="8">
        <f>'[1]Buffer Summary'!$D26</f>
        <v>5573.6239999999998</v>
      </c>
      <c r="E26" s="7">
        <f>'[1]Buffer Summary'!$B26</f>
        <v>11147.248</v>
      </c>
      <c r="F26" s="13">
        <v>14</v>
      </c>
      <c r="G26" s="14">
        <f t="shared" si="0"/>
        <v>16720.871999999996</v>
      </c>
      <c r="H26" s="14">
        <f t="shared" si="1"/>
        <v>22294.495999999996</v>
      </c>
      <c r="I26" s="15">
        <f t="shared" si="2"/>
        <v>33441.743999999992</v>
      </c>
      <c r="J26" s="16">
        <f>'[2]On-Hand'!$C26</f>
        <v>22803</v>
      </c>
      <c r="K26" s="14">
        <f>'[2]On-Order'!$C26</f>
        <v>0</v>
      </c>
      <c r="L26" s="14">
        <f>[2]Consume!$D26</f>
        <v>2118</v>
      </c>
      <c r="M26" s="14">
        <f t="shared" si="3"/>
        <v>20685</v>
      </c>
      <c r="N26" s="33">
        <f>J26+[2]Arrival!$D26-[2]Consume!$D26</f>
        <v>20685</v>
      </c>
      <c r="O26" s="22">
        <f t="shared" si="4"/>
        <v>0.61853831546584426</v>
      </c>
      <c r="P26" s="14"/>
      <c r="Q26" s="14"/>
      <c r="R26" s="14"/>
      <c r="S26" s="14"/>
    </row>
    <row r="27" spans="1:19">
      <c r="A27" s="3" t="s">
        <v>44</v>
      </c>
      <c r="B27" s="5">
        <v>102000</v>
      </c>
      <c r="C27" s="9">
        <f>'[1]Buffer Summary'!$F27</f>
        <v>155361.12</v>
      </c>
      <c r="D27" s="8">
        <f>'[1]Buffer Summary'!$D27</f>
        <v>23897.421333333332</v>
      </c>
      <c r="E27" s="7">
        <f>'[1]Buffer Summary'!$B27</f>
        <v>103574.07999999999</v>
      </c>
      <c r="F27" s="13">
        <v>14</v>
      </c>
      <c r="G27" s="14">
        <f t="shared" si="0"/>
        <v>155361.12</v>
      </c>
      <c r="H27" s="14">
        <f t="shared" si="1"/>
        <v>179258.54133333333</v>
      </c>
      <c r="I27" s="15">
        <f t="shared" si="2"/>
        <v>282832.62133333331</v>
      </c>
      <c r="J27" s="16">
        <f>'[2]On-Hand'!$C27</f>
        <v>103820</v>
      </c>
      <c r="K27" s="14">
        <f>'[2]On-Order'!$C27</f>
        <v>0</v>
      </c>
      <c r="L27" s="14">
        <f>[2]Consume!$D27</f>
        <v>8991</v>
      </c>
      <c r="M27" s="14">
        <f t="shared" si="3"/>
        <v>94829</v>
      </c>
      <c r="N27" s="33">
        <f>J27+[2]Arrival!$D27-[2]Consume!$D27</f>
        <v>94829</v>
      </c>
      <c r="O27" s="22">
        <f t="shared" si="4"/>
        <v>0.33528310685293605</v>
      </c>
      <c r="P27" s="14"/>
      <c r="Q27" s="14"/>
      <c r="R27" s="14"/>
      <c r="S27" s="14"/>
    </row>
    <row r="28" spans="1:19">
      <c r="A28" s="3" t="s">
        <v>45</v>
      </c>
      <c r="B28" s="5">
        <v>102000</v>
      </c>
      <c r="C28" s="9">
        <f>'[1]Buffer Summary'!$F28</f>
        <v>155281.37599999999</v>
      </c>
      <c r="D28" s="8">
        <f>'[1]Buffer Summary'!$D28</f>
        <v>24017.541333333334</v>
      </c>
      <c r="E28" s="7">
        <f>'[1]Buffer Summary'!$B28</f>
        <v>103520.91733333333</v>
      </c>
      <c r="F28" s="13">
        <v>14</v>
      </c>
      <c r="G28" s="14">
        <f t="shared" si="0"/>
        <v>155281.37599999999</v>
      </c>
      <c r="H28" s="14">
        <f t="shared" si="1"/>
        <v>179298.91733333332</v>
      </c>
      <c r="I28" s="15">
        <f t="shared" si="2"/>
        <v>282819.83466666663</v>
      </c>
      <c r="J28" s="16">
        <f>'[2]On-Hand'!$C28</f>
        <v>105931</v>
      </c>
      <c r="K28" s="14">
        <f>'[2]On-Order'!$C28</f>
        <v>0</v>
      </c>
      <c r="L28" s="14">
        <f>[2]Consume!$D28</f>
        <v>5729</v>
      </c>
      <c r="M28" s="14">
        <f t="shared" si="3"/>
        <v>100202</v>
      </c>
      <c r="N28" s="33">
        <f>J28+[2]Arrival!$D28-[2]Consume!$D28</f>
        <v>100202</v>
      </c>
      <c r="O28" s="22">
        <f t="shared" si="4"/>
        <v>0.35429622578663467</v>
      </c>
      <c r="P28" s="14"/>
      <c r="Q28" s="14"/>
      <c r="R28" s="14"/>
      <c r="S28" s="14"/>
    </row>
  </sheetData>
  <phoneticPr fontId="7" type="noConversion"/>
  <conditionalFormatting sqref="O3:O28">
    <cfRule type="top10" dxfId="13" priority="1" bottom="1" rank="5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CFCE8-779B-47BE-B0F5-94C481E58143}">
  <dimension ref="A2:S28"/>
  <sheetViews>
    <sheetView topLeftCell="A13" workbookViewId="0">
      <selection activeCell="C10" sqref="C10"/>
    </sheetView>
  </sheetViews>
  <sheetFormatPr defaultRowHeight="15"/>
  <cols>
    <col min="4" max="4" width="11.140625" bestFit="1" customWidth="1"/>
    <col min="5" max="5" width="10.7109375" bestFit="1" customWidth="1"/>
    <col min="6" max="6" width="9.28515625" customWidth="1"/>
    <col min="10" max="10" width="8.28515625" style="17" customWidth="1"/>
    <col min="11" max="11" width="10" customWidth="1"/>
    <col min="12" max="12" width="10.5703125" customWidth="1"/>
    <col min="16" max="18" width="10.28515625" customWidth="1"/>
    <col min="19" max="19" width="10.7109375" customWidth="1"/>
  </cols>
  <sheetData>
    <row r="2" spans="1:19" ht="33">
      <c r="A2" s="1" t="s">
        <v>0</v>
      </c>
      <c r="B2" s="6" t="s">
        <v>1</v>
      </c>
      <c r="C2" s="11" t="s">
        <v>2</v>
      </c>
      <c r="D2" s="10" t="s">
        <v>3</v>
      </c>
      <c r="E2" s="12" t="s">
        <v>4</v>
      </c>
      <c r="F2" s="6" t="s">
        <v>5</v>
      </c>
      <c r="G2" s="6" t="s">
        <v>6</v>
      </c>
      <c r="H2" s="6" t="s">
        <v>7</v>
      </c>
      <c r="I2" s="18" t="s">
        <v>8</v>
      </c>
      <c r="J2" s="19" t="s">
        <v>9</v>
      </c>
      <c r="K2" s="6" t="s">
        <v>10</v>
      </c>
      <c r="L2" s="18" t="s">
        <v>11</v>
      </c>
      <c r="M2" s="20" t="s">
        <v>12</v>
      </c>
      <c r="N2" s="20" t="s">
        <v>13</v>
      </c>
      <c r="O2" s="20" t="s">
        <v>14</v>
      </c>
      <c r="P2" s="20" t="s">
        <v>15</v>
      </c>
      <c r="Q2" s="20" t="s">
        <v>16</v>
      </c>
      <c r="R2" s="20" t="s">
        <v>17</v>
      </c>
      <c r="S2" s="20" t="s">
        <v>18</v>
      </c>
    </row>
    <row r="3" spans="1:19">
      <c r="A3" s="2" t="s">
        <v>19</v>
      </c>
      <c r="B3" s="4">
        <v>850</v>
      </c>
      <c r="C3" s="9">
        <f>'[1]Buffer Summary'!$F3</f>
        <v>9705.8630864999996</v>
      </c>
      <c r="D3" s="8">
        <f>'[1]Buffer Summary'!$D3</f>
        <v>7764.6904691999998</v>
      </c>
      <c r="E3" s="7">
        <f>'[1]Buffer Summary'!$B3</f>
        <v>5546.2074779999994</v>
      </c>
      <c r="F3" s="13">
        <v>21</v>
      </c>
      <c r="G3" s="14">
        <f>C3</f>
        <v>9705.8630864999996</v>
      </c>
      <c r="H3" s="14">
        <f>C3+D3</f>
        <v>17470.5535557</v>
      </c>
      <c r="I3" s="15">
        <f>C3+D3+E3</f>
        <v>23016.761033700001</v>
      </c>
      <c r="J3" s="16">
        <f>'Wk -2 Analysis'!N3</f>
        <v>11797.3</v>
      </c>
      <c r="K3" s="14">
        <f>'[2]On-Order'!$D3+'Wk -2 Analysis'!Q3</f>
        <v>7190</v>
      </c>
      <c r="L3" s="14">
        <f>[2]Consume!$E3</f>
        <v>1718.8</v>
      </c>
      <c r="M3" s="14">
        <f>J3+K3-L3</f>
        <v>17268.5</v>
      </c>
      <c r="N3" s="21">
        <f>J3+[2]Arrival!$E3-[2]Consume!$E3</f>
        <v>13478.5</v>
      </c>
      <c r="O3" s="22">
        <f>M3/I3</f>
        <v>0.75025760465238001</v>
      </c>
      <c r="P3" s="14"/>
      <c r="Q3" s="14"/>
      <c r="R3" s="14"/>
      <c r="S3" s="14"/>
    </row>
    <row r="4" spans="1:19">
      <c r="A4" s="2" t="s">
        <v>20</v>
      </c>
      <c r="B4" s="4">
        <v>700</v>
      </c>
      <c r="C4" s="9">
        <f>'[1]Buffer Summary'!$F4</f>
        <v>1225</v>
      </c>
      <c r="D4" s="8">
        <f>'[1]Buffer Summary'!$D4</f>
        <v>511.33672799999994</v>
      </c>
      <c r="E4" s="7">
        <f>'[1]Buffer Summary'!$B4</f>
        <v>700</v>
      </c>
      <c r="F4" s="13">
        <v>21</v>
      </c>
      <c r="G4" s="14">
        <f t="shared" ref="G4:G28" si="0">C4</f>
        <v>1225</v>
      </c>
      <c r="H4" s="14">
        <f t="shared" ref="H4:H28" si="1">C4+D4</f>
        <v>1736.336728</v>
      </c>
      <c r="I4" s="15">
        <f t="shared" ref="I4:I28" si="2">C4+D4+E4</f>
        <v>2436.3367280000002</v>
      </c>
      <c r="J4" s="16">
        <f>'Wk -2 Analysis'!N4</f>
        <v>1073.0999999999999</v>
      </c>
      <c r="K4" s="14">
        <f>'[2]On-Order'!$D4+'Wk -2 Analysis'!Q4</f>
        <v>520</v>
      </c>
      <c r="L4" s="14">
        <f>[2]Consume!$E4</f>
        <v>447.9</v>
      </c>
      <c r="M4" s="14">
        <f t="shared" ref="M4:M28" si="3">J4+K4-L4</f>
        <v>1145.1999999999998</v>
      </c>
      <c r="N4" s="21">
        <f>J4+[2]Arrival!$E4-[2]Consume!$E4</f>
        <v>625.19999999999993</v>
      </c>
      <c r="O4" s="22">
        <f t="shared" ref="O4:O28" si="4">M4/I4</f>
        <v>0.47004996757574624</v>
      </c>
      <c r="P4" s="14"/>
      <c r="Q4" s="14"/>
      <c r="R4" s="14"/>
      <c r="S4" s="14"/>
    </row>
    <row r="5" spans="1:19">
      <c r="A5" s="2" t="s">
        <v>21</v>
      </c>
      <c r="B5" s="4">
        <v>220</v>
      </c>
      <c r="C5" s="9">
        <f>'[1]Buffer Summary'!$F5</f>
        <v>399.88980499999997</v>
      </c>
      <c r="D5" s="8">
        <f>'[1]Buffer Summary'!$D5</f>
        <v>298.45594799999998</v>
      </c>
      <c r="E5" s="7">
        <f>'[1]Buffer Summary'!$B5</f>
        <v>228.50846000000001</v>
      </c>
      <c r="F5" s="13">
        <v>21</v>
      </c>
      <c r="G5" s="14">
        <f t="shared" si="0"/>
        <v>399.88980499999997</v>
      </c>
      <c r="H5" s="14">
        <f t="shared" si="1"/>
        <v>698.34575299999995</v>
      </c>
      <c r="I5" s="15">
        <f t="shared" si="2"/>
        <v>926.85421299999996</v>
      </c>
      <c r="J5" s="16">
        <f>'Wk -2 Analysis'!N5</f>
        <v>610.4</v>
      </c>
      <c r="K5" s="14">
        <f>'[2]On-Order'!$D5+'Wk -2 Analysis'!Q5</f>
        <v>0</v>
      </c>
      <c r="L5" s="14">
        <f>[2]Consume!$E5</f>
        <v>43</v>
      </c>
      <c r="M5" s="14">
        <f t="shared" si="3"/>
        <v>567.4</v>
      </c>
      <c r="N5" s="21">
        <f>J5+[2]Arrival!$E5-[2]Consume!$E5</f>
        <v>567.4</v>
      </c>
      <c r="O5" s="22">
        <f t="shared" si="4"/>
        <v>0.61217826066028791</v>
      </c>
      <c r="P5" s="14"/>
      <c r="Q5" s="14"/>
      <c r="R5" s="14"/>
      <c r="S5" s="14"/>
    </row>
    <row r="6" spans="1:19">
      <c r="A6" s="2" t="s">
        <v>22</v>
      </c>
      <c r="B6" s="4">
        <v>916</v>
      </c>
      <c r="C6" s="9">
        <f>'[1]Buffer Summary'!$F6</f>
        <v>5833.8262500000001</v>
      </c>
      <c r="D6" s="8">
        <f>'[1]Buffer Summary'!$D6</f>
        <v>4667.0609999999997</v>
      </c>
      <c r="E6" s="7">
        <f>'[1]Buffer Summary'!$B6</f>
        <v>3333.6149999999993</v>
      </c>
      <c r="F6" s="13">
        <v>21</v>
      </c>
      <c r="G6" s="14">
        <f t="shared" si="0"/>
        <v>5833.8262500000001</v>
      </c>
      <c r="H6" s="14">
        <f t="shared" si="1"/>
        <v>10500.88725</v>
      </c>
      <c r="I6" s="15">
        <f t="shared" si="2"/>
        <v>13834.50225</v>
      </c>
      <c r="J6" s="16">
        <f>'Wk -2 Analysis'!N6</f>
        <v>2237.1999999999998</v>
      </c>
      <c r="K6" s="14">
        <f>'[2]On-Order'!$D6+'Wk -2 Analysis'!Q6</f>
        <v>8313</v>
      </c>
      <c r="L6" s="14">
        <f>[2]Consume!$E6</f>
        <v>778</v>
      </c>
      <c r="M6" s="14">
        <f t="shared" si="3"/>
        <v>9772.2000000000007</v>
      </c>
      <c r="N6" s="21">
        <f>J6+[2]Arrival!$E6-[2]Consume!$E6</f>
        <v>4207.2</v>
      </c>
      <c r="O6" s="22">
        <f t="shared" si="4"/>
        <v>0.70636440859301608</v>
      </c>
      <c r="P6" s="14"/>
      <c r="Q6" s="14"/>
      <c r="R6" s="14"/>
      <c r="S6" s="14"/>
    </row>
    <row r="7" spans="1:19">
      <c r="A7" s="2" t="s">
        <v>23</v>
      </c>
      <c r="B7" s="4">
        <v>300</v>
      </c>
      <c r="C7" s="9">
        <f>'[1]Buffer Summary'!$F7</f>
        <v>1105.12941</v>
      </c>
      <c r="D7" s="8">
        <f>'[1]Buffer Summary'!$D7</f>
        <v>884.10352799999998</v>
      </c>
      <c r="E7" s="7">
        <f>'[1]Buffer Summary'!$B7</f>
        <v>631.50251999999989</v>
      </c>
      <c r="F7" s="13">
        <v>21</v>
      </c>
      <c r="G7" s="14">
        <f t="shared" si="0"/>
        <v>1105.12941</v>
      </c>
      <c r="H7" s="14">
        <f t="shared" si="1"/>
        <v>1989.2329380000001</v>
      </c>
      <c r="I7" s="15">
        <f t="shared" si="2"/>
        <v>2620.7354580000001</v>
      </c>
      <c r="J7" s="16">
        <f>'Wk -2 Analysis'!N7</f>
        <v>124.60000000000002</v>
      </c>
      <c r="K7" s="14">
        <f>'[2]On-Order'!$D7+'Wk -2 Analysis'!Q7</f>
        <v>1800</v>
      </c>
      <c r="L7" s="14">
        <f>[2]Consume!$E7</f>
        <v>160</v>
      </c>
      <c r="M7" s="14">
        <f t="shared" si="3"/>
        <v>1764.6</v>
      </c>
      <c r="N7" s="21">
        <f>J7+[2]Arrival!$E7-[2]Consume!$E7</f>
        <v>1764.6</v>
      </c>
      <c r="O7" s="22">
        <f t="shared" si="4"/>
        <v>0.67332244260420115</v>
      </c>
      <c r="P7" s="14"/>
      <c r="Q7" s="14"/>
      <c r="R7" s="14"/>
      <c r="S7" s="14"/>
    </row>
    <row r="8" spans="1:19">
      <c r="A8" s="3" t="s">
        <v>24</v>
      </c>
      <c r="B8" s="4">
        <v>700</v>
      </c>
      <c r="C8" s="9">
        <f>'[1]Buffer Summary'!$F8</f>
        <v>14594.65</v>
      </c>
      <c r="D8" s="8">
        <f>'[1]Buffer Summary'!$D8</f>
        <v>25019.4</v>
      </c>
      <c r="E8" s="7">
        <f>'[1]Buffer Summary'!$B8</f>
        <v>8339.7999999999993</v>
      </c>
      <c r="F8" s="13">
        <v>21</v>
      </c>
      <c r="G8" s="14">
        <f t="shared" si="0"/>
        <v>14594.65</v>
      </c>
      <c r="H8" s="14">
        <f t="shared" si="1"/>
        <v>39614.050000000003</v>
      </c>
      <c r="I8" s="15">
        <f t="shared" si="2"/>
        <v>47953.850000000006</v>
      </c>
      <c r="J8" s="16">
        <f>'Wk -2 Analysis'!N8</f>
        <v>31301</v>
      </c>
      <c r="K8" s="14">
        <f>'[2]On-Order'!$D8+'Wk -2 Analysis'!Q8</f>
        <v>10500</v>
      </c>
      <c r="L8" s="14">
        <f>[2]Consume!$E8</f>
        <v>9450</v>
      </c>
      <c r="M8" s="14">
        <f t="shared" si="3"/>
        <v>32351</v>
      </c>
      <c r="N8" s="21">
        <f>J8+[2]Arrival!$E8-[2]Consume!$E8</f>
        <v>21851</v>
      </c>
      <c r="O8" s="22">
        <f t="shared" si="4"/>
        <v>0.67462779318031807</v>
      </c>
      <c r="P8" s="14"/>
      <c r="Q8" s="14"/>
      <c r="R8" s="14"/>
      <c r="S8" s="14"/>
    </row>
    <row r="9" spans="1:19">
      <c r="A9" s="3" t="s">
        <v>25</v>
      </c>
      <c r="B9" s="4">
        <v>850</v>
      </c>
      <c r="C9" s="9">
        <f>'[1]Buffer Summary'!$F9</f>
        <v>9705.8630864999996</v>
      </c>
      <c r="D9" s="8">
        <f>'[1]Buffer Summary'!$D9</f>
        <v>7764.6904691999998</v>
      </c>
      <c r="E9" s="7">
        <f>'[1]Buffer Summary'!$B9</f>
        <v>5546.2074779999994</v>
      </c>
      <c r="F9" s="13">
        <v>21</v>
      </c>
      <c r="G9" s="14">
        <f t="shared" si="0"/>
        <v>9705.8630864999996</v>
      </c>
      <c r="H9" s="14">
        <f t="shared" si="1"/>
        <v>17470.5535557</v>
      </c>
      <c r="I9" s="15">
        <f t="shared" si="2"/>
        <v>23016.761033700001</v>
      </c>
      <c r="J9" s="16">
        <f>'Wk -2 Analysis'!N9</f>
        <v>11797.3</v>
      </c>
      <c r="K9" s="14">
        <f>'[2]On-Order'!$D9+'Wk -2 Analysis'!Q9</f>
        <v>7190</v>
      </c>
      <c r="L9" s="14">
        <f>[2]Consume!$E9</f>
        <v>1718.8</v>
      </c>
      <c r="M9" s="14">
        <f t="shared" si="3"/>
        <v>17268.5</v>
      </c>
      <c r="N9" s="21">
        <f>J9+[2]Arrival!$E9-[2]Consume!$E9</f>
        <v>13478.5</v>
      </c>
      <c r="O9" s="22">
        <f t="shared" si="4"/>
        <v>0.75025760465238001</v>
      </c>
      <c r="P9" s="14"/>
      <c r="Q9" s="14"/>
      <c r="R9" s="14"/>
      <c r="S9" s="14"/>
    </row>
    <row r="10" spans="1:19">
      <c r="A10" s="3" t="s">
        <v>26</v>
      </c>
      <c r="B10" s="5">
        <v>6272</v>
      </c>
      <c r="C10" s="9">
        <f>'[1]Buffer Summary'!$F10</f>
        <v>10976</v>
      </c>
      <c r="D10" s="8">
        <f>'[1]Buffer Summary'!$D10</f>
        <v>876.23199999999997</v>
      </c>
      <c r="E10" s="7">
        <f>'[1]Buffer Summary'!$B10</f>
        <v>6272</v>
      </c>
      <c r="F10" s="13">
        <v>21</v>
      </c>
      <c r="G10" s="14">
        <f t="shared" si="0"/>
        <v>10976</v>
      </c>
      <c r="H10" s="14">
        <f t="shared" si="1"/>
        <v>11852.232</v>
      </c>
      <c r="I10" s="15">
        <f t="shared" si="2"/>
        <v>18124.232</v>
      </c>
      <c r="J10" s="16">
        <f>'Wk -2 Analysis'!N10</f>
        <v>787</v>
      </c>
      <c r="K10" s="14">
        <f>'[2]On-Order'!$D10+'Wk -2 Analysis'!Q10</f>
        <v>18816</v>
      </c>
      <c r="L10" s="14">
        <f>[2]Consume!$E10</f>
        <v>158</v>
      </c>
      <c r="M10" s="14">
        <f t="shared" si="3"/>
        <v>19445</v>
      </c>
      <c r="N10" s="21">
        <f>J10+[2]Arrival!$E10-[2]Consume!$E10</f>
        <v>629</v>
      </c>
      <c r="O10" s="22">
        <f t="shared" si="4"/>
        <v>1.0728730464275673</v>
      </c>
      <c r="P10" s="14"/>
      <c r="Q10" s="14"/>
      <c r="R10" s="14"/>
      <c r="S10" s="14"/>
    </row>
    <row r="11" spans="1:19">
      <c r="A11" s="3" t="s">
        <v>28</v>
      </c>
      <c r="B11" s="5">
        <v>6400</v>
      </c>
      <c r="C11" s="9">
        <f>'[1]Buffer Summary'!$F11</f>
        <v>11200</v>
      </c>
      <c r="D11" s="8">
        <f>'[1]Buffer Summary'!$D11</f>
        <v>882.952</v>
      </c>
      <c r="E11" s="7">
        <f>'[1]Buffer Summary'!$B11</f>
        <v>6400</v>
      </c>
      <c r="F11" s="13">
        <v>21</v>
      </c>
      <c r="G11" s="14">
        <f t="shared" si="0"/>
        <v>11200</v>
      </c>
      <c r="H11" s="14">
        <f t="shared" si="1"/>
        <v>12082.951999999999</v>
      </c>
      <c r="I11" s="15">
        <f t="shared" si="2"/>
        <v>18482.951999999997</v>
      </c>
      <c r="J11" s="16">
        <f>'Wk -2 Analysis'!N11</f>
        <v>1324</v>
      </c>
      <c r="K11" s="14">
        <f>'[2]On-Order'!$D11+'Wk -2 Analysis'!Q11</f>
        <v>19200</v>
      </c>
      <c r="L11" s="14">
        <f>[2]Consume!$E11</f>
        <v>158</v>
      </c>
      <c r="M11" s="14">
        <f t="shared" si="3"/>
        <v>20366</v>
      </c>
      <c r="N11" s="21">
        <f>J11+[2]Arrival!$E11-[2]Consume!$E11</f>
        <v>1166</v>
      </c>
      <c r="O11" s="22">
        <f t="shared" si="4"/>
        <v>1.1018802624169561</v>
      </c>
      <c r="P11" s="14"/>
      <c r="Q11" s="14"/>
      <c r="R11" s="14"/>
      <c r="S11" s="14"/>
    </row>
    <row r="12" spans="1:19">
      <c r="A12" s="3" t="s">
        <v>29</v>
      </c>
      <c r="B12" s="5">
        <v>50000</v>
      </c>
      <c r="C12" s="9">
        <f>'[1]Buffer Summary'!$F12</f>
        <v>87500</v>
      </c>
      <c r="D12" s="8">
        <f>'[1]Buffer Summary'!$D12</f>
        <v>9435.8879999999972</v>
      </c>
      <c r="E12" s="7">
        <f>'[1]Buffer Summary'!$B12</f>
        <v>50000</v>
      </c>
      <c r="F12" s="13">
        <v>21</v>
      </c>
      <c r="G12" s="14">
        <f t="shared" si="0"/>
        <v>87500</v>
      </c>
      <c r="H12" s="14">
        <f t="shared" si="1"/>
        <v>96935.887999999992</v>
      </c>
      <c r="I12" s="15">
        <f t="shared" si="2"/>
        <v>146935.88799999998</v>
      </c>
      <c r="J12" s="16">
        <f>'Wk -2 Analysis'!N12</f>
        <v>15700</v>
      </c>
      <c r="K12" s="14">
        <f>'[2]On-Order'!$D12+'Wk -2 Analysis'!Q12</f>
        <v>150000</v>
      </c>
      <c r="L12" s="14">
        <f>[2]Consume!$E12</f>
        <v>2422</v>
      </c>
      <c r="M12" s="14">
        <f t="shared" si="3"/>
        <v>163278</v>
      </c>
      <c r="N12" s="21">
        <f>J12+[2]Arrival!$E12-[2]Consume!$E12</f>
        <v>13278</v>
      </c>
      <c r="O12" s="22">
        <f t="shared" si="4"/>
        <v>1.1112193366946543</v>
      </c>
      <c r="P12" s="14"/>
      <c r="Q12" s="14"/>
      <c r="R12" s="14"/>
      <c r="S12" s="14"/>
    </row>
    <row r="13" spans="1:19">
      <c r="A13" s="3" t="s">
        <v>30</v>
      </c>
      <c r="B13" s="4">
        <v>450</v>
      </c>
      <c r="C13" s="9">
        <f>'[1]Buffer Summary'!$F13</f>
        <v>22731.4986899</v>
      </c>
      <c r="D13" s="8">
        <f>'[1]Buffer Summary'!$D13</f>
        <v>18185.19895192</v>
      </c>
      <c r="E13" s="7">
        <f>'[1]Buffer Summary'!$B13</f>
        <v>12989.427822799998</v>
      </c>
      <c r="F13" s="13">
        <v>21</v>
      </c>
      <c r="G13" s="14">
        <f t="shared" si="0"/>
        <v>22731.4986899</v>
      </c>
      <c r="H13" s="14">
        <f t="shared" si="1"/>
        <v>40916.697641819999</v>
      </c>
      <c r="I13" s="15">
        <f t="shared" si="2"/>
        <v>53906.125464619996</v>
      </c>
      <c r="J13" s="16">
        <f>'Wk -2 Analysis'!N13</f>
        <v>1257.6999999999998</v>
      </c>
      <c r="K13" s="14">
        <f>'[2]On-Order'!$D13+'Wk -2 Analysis'!Q13</f>
        <v>27000</v>
      </c>
      <c r="L13" s="14">
        <f>[2]Consume!$E13</f>
        <v>3268.5</v>
      </c>
      <c r="M13" s="14">
        <f t="shared" si="3"/>
        <v>24989.200000000001</v>
      </c>
      <c r="N13" s="21">
        <f>J13+[2]Arrival!$E13-[2]Consume!$E13</f>
        <v>6989.2000000000007</v>
      </c>
      <c r="O13" s="22">
        <f t="shared" si="4"/>
        <v>0.46356883906266028</v>
      </c>
      <c r="P13" s="23">
        <f>I13-M13</f>
        <v>28916.925464619995</v>
      </c>
      <c r="Q13" s="23">
        <f>B13*4</f>
        <v>1800</v>
      </c>
      <c r="R13" s="23" t="s">
        <v>46</v>
      </c>
      <c r="S13" s="24">
        <f>P13/Q13</f>
        <v>16.064958591455554</v>
      </c>
    </row>
    <row r="14" spans="1:19">
      <c r="A14" s="3" t="s">
        <v>31</v>
      </c>
      <c r="B14" s="4">
        <v>750</v>
      </c>
      <c r="C14" s="9">
        <f>'[1]Buffer Summary'!$F14</f>
        <v>4069.1037274999994</v>
      </c>
      <c r="D14" s="8">
        <f>'[1]Buffer Summary'!$D14</f>
        <v>3255.2829820000006</v>
      </c>
      <c r="E14" s="7">
        <f>'[1]Buffer Summary'!$B14</f>
        <v>2325.2021299999997</v>
      </c>
      <c r="F14" s="13">
        <v>21</v>
      </c>
      <c r="G14" s="14">
        <f t="shared" si="0"/>
        <v>4069.1037274999994</v>
      </c>
      <c r="H14" s="14">
        <f t="shared" si="1"/>
        <v>7324.3867095000005</v>
      </c>
      <c r="I14" s="15">
        <f t="shared" si="2"/>
        <v>9649.5888395000002</v>
      </c>
      <c r="J14" s="16">
        <f>'Wk -2 Analysis'!N14</f>
        <v>2211.6</v>
      </c>
      <c r="K14" s="14">
        <f>'[2]On-Order'!$D14+'Wk -2 Analysis'!Q14</f>
        <v>4500</v>
      </c>
      <c r="L14" s="14">
        <f>[2]Consume!$E14</f>
        <v>206</v>
      </c>
      <c r="M14" s="14">
        <f t="shared" si="3"/>
        <v>6505.6</v>
      </c>
      <c r="N14" s="21">
        <f>J14+[2]Arrival!$E14-[2]Consume!$E14</f>
        <v>6505.6</v>
      </c>
      <c r="O14" s="22">
        <f t="shared" si="4"/>
        <v>0.67418416558534866</v>
      </c>
      <c r="P14" s="14"/>
      <c r="Q14" s="14"/>
      <c r="R14" s="14"/>
      <c r="S14" s="14"/>
    </row>
    <row r="15" spans="1:19">
      <c r="A15" s="3" t="s">
        <v>32</v>
      </c>
      <c r="B15" s="4">
        <v>700</v>
      </c>
      <c r="C15" s="9">
        <f>'[1]Buffer Summary'!$F15</f>
        <v>1666.2783549999999</v>
      </c>
      <c r="D15" s="8">
        <f>'[1]Buffer Summary'!$D15</f>
        <v>1307.794124</v>
      </c>
      <c r="E15" s="7">
        <f>'[1]Buffer Summary'!$B15</f>
        <v>952.15905999999995</v>
      </c>
      <c r="F15" s="13">
        <v>21</v>
      </c>
      <c r="G15" s="14">
        <f t="shared" si="0"/>
        <v>1666.2783549999999</v>
      </c>
      <c r="H15" s="14">
        <f t="shared" si="1"/>
        <v>2974.0724789999999</v>
      </c>
      <c r="I15" s="15">
        <f t="shared" si="2"/>
        <v>3926.2315389999999</v>
      </c>
      <c r="J15" s="16">
        <f>'Wk -2 Analysis'!N15</f>
        <v>788.9</v>
      </c>
      <c r="K15" s="14">
        <f>'[2]On-Order'!$D15+'Wk -2 Analysis'!Q15</f>
        <v>1500</v>
      </c>
      <c r="L15" s="14">
        <f>[2]Consume!$E15</f>
        <v>59.4</v>
      </c>
      <c r="M15" s="14">
        <f t="shared" si="3"/>
        <v>2229.5</v>
      </c>
      <c r="N15" s="21">
        <f>J15+[2]Arrival!$E15-[2]Consume!$E15</f>
        <v>729.5</v>
      </c>
      <c r="O15" s="22">
        <f t="shared" si="4"/>
        <v>0.56784730545153927</v>
      </c>
      <c r="P15" s="14"/>
      <c r="Q15" s="14"/>
      <c r="R15" s="14"/>
      <c r="S15" s="14"/>
    </row>
    <row r="16" spans="1:19">
      <c r="A16" s="3" t="s">
        <v>33</v>
      </c>
      <c r="B16" s="4">
        <v>750</v>
      </c>
      <c r="C16" s="9">
        <f>'[1]Buffer Summary'!$F16</f>
        <v>2259.6644349999997</v>
      </c>
      <c r="D16" s="8">
        <f>'[1]Buffer Summary'!$D16</f>
        <v>1807.7315480000002</v>
      </c>
      <c r="E16" s="7">
        <f>'[1]Buffer Summary'!$B16</f>
        <v>1291.2368199999999</v>
      </c>
      <c r="F16" s="13">
        <v>21</v>
      </c>
      <c r="G16" s="14">
        <f t="shared" si="0"/>
        <v>2259.6644349999997</v>
      </c>
      <c r="H16" s="14">
        <f t="shared" si="1"/>
        <v>4067.3959829999999</v>
      </c>
      <c r="I16" s="15">
        <f t="shared" si="2"/>
        <v>5358.6328029999995</v>
      </c>
      <c r="J16" s="16">
        <f>'Wk -2 Analysis'!N16</f>
        <v>2476.6999999999998</v>
      </c>
      <c r="K16" s="14">
        <f>'[2]On-Order'!$D16+'Wk -2 Analysis'!Q16</f>
        <v>4500</v>
      </c>
      <c r="L16" s="14">
        <f>[2]Consume!$E16</f>
        <v>221.8</v>
      </c>
      <c r="M16" s="14">
        <f t="shared" si="3"/>
        <v>6754.9</v>
      </c>
      <c r="N16" s="21">
        <f>J16+[2]Arrival!$E16-[2]Consume!$E16</f>
        <v>6754.9</v>
      </c>
      <c r="O16" s="22">
        <f t="shared" si="4"/>
        <v>1.2605640745188416</v>
      </c>
      <c r="P16" s="14"/>
      <c r="Q16" s="14"/>
      <c r="R16" s="14"/>
      <c r="S16" s="14"/>
    </row>
    <row r="17" spans="1:19">
      <c r="A17" s="3" t="s">
        <v>34</v>
      </c>
      <c r="B17" s="5">
        <v>2475</v>
      </c>
      <c r="C17" s="9">
        <f>'[1]Buffer Summary'!$F17</f>
        <v>29302.883610000001</v>
      </c>
      <c r="D17" s="8">
        <f>'[1]Buffer Summary'!$D17</f>
        <v>23442.306887999999</v>
      </c>
      <c r="E17" s="7">
        <f>'[1]Buffer Summary'!$B17</f>
        <v>16744.504919999999</v>
      </c>
      <c r="F17" s="13">
        <v>21</v>
      </c>
      <c r="G17" s="14">
        <f t="shared" si="0"/>
        <v>29302.883610000001</v>
      </c>
      <c r="H17" s="14">
        <f t="shared" si="1"/>
        <v>52745.190497999996</v>
      </c>
      <c r="I17" s="15">
        <f t="shared" si="2"/>
        <v>69489.695417999988</v>
      </c>
      <c r="J17" s="16">
        <f>'Wk -2 Analysis'!N17</f>
        <v>34602.699999999997</v>
      </c>
      <c r="K17" s="14">
        <f>'[2]On-Order'!$D17+'Wk -2 Analysis'!Q17</f>
        <v>15675</v>
      </c>
      <c r="L17" s="14">
        <f>[2]Consume!$E17</f>
        <v>2548.3000000000002</v>
      </c>
      <c r="M17" s="14">
        <f t="shared" si="3"/>
        <v>47729.399999999994</v>
      </c>
      <c r="N17" s="21">
        <f>J17+[2]Arrival!$E17-[2]Consume!$E17</f>
        <v>32054.399999999998</v>
      </c>
      <c r="O17" s="22">
        <f t="shared" si="4"/>
        <v>0.6868557951347215</v>
      </c>
      <c r="P17" s="14"/>
      <c r="Q17" s="14"/>
      <c r="R17" s="14"/>
      <c r="S17" s="14"/>
    </row>
    <row r="18" spans="1:19">
      <c r="A18" s="3" t="s">
        <v>35</v>
      </c>
      <c r="B18" s="5">
        <v>1000</v>
      </c>
      <c r="C18" s="9">
        <f>'[1]Buffer Summary'!$F18</f>
        <v>4449.3902600000001</v>
      </c>
      <c r="D18" s="8">
        <f>'[1]Buffer Summary'!$D18</f>
        <v>3559.5122080000001</v>
      </c>
      <c r="E18" s="7">
        <f>'[1]Buffer Summary'!$B18</f>
        <v>2542.5087199999994</v>
      </c>
      <c r="F18" s="13">
        <v>21</v>
      </c>
      <c r="G18" s="14">
        <f t="shared" si="0"/>
        <v>4449.3902600000001</v>
      </c>
      <c r="H18" s="14">
        <f t="shared" si="1"/>
        <v>8008.9024680000002</v>
      </c>
      <c r="I18" s="15">
        <f t="shared" si="2"/>
        <v>10551.411188</v>
      </c>
      <c r="J18" s="16">
        <f>'Wk -2 Analysis'!N18</f>
        <v>2979.6</v>
      </c>
      <c r="K18" s="14">
        <f>'[2]On-Order'!$D18+'Wk -2 Analysis'!Q18</f>
        <v>3000</v>
      </c>
      <c r="L18" s="14">
        <f>[2]Consume!$E18</f>
        <v>0</v>
      </c>
      <c r="M18" s="14">
        <f t="shared" si="3"/>
        <v>5979.6</v>
      </c>
      <c r="N18" s="21">
        <f>J18+[2]Arrival!$E18-[2]Consume!$E18</f>
        <v>2979.6</v>
      </c>
      <c r="O18" s="22">
        <f t="shared" si="4"/>
        <v>0.56671092553008751</v>
      </c>
      <c r="P18" s="14"/>
      <c r="Q18" s="14"/>
      <c r="R18" s="14"/>
      <c r="S18" s="14"/>
    </row>
    <row r="19" spans="1:19">
      <c r="A19" s="3" t="s">
        <v>36</v>
      </c>
      <c r="B19" s="4">
        <v>20</v>
      </c>
      <c r="C19" s="9">
        <f>'[1]Buffer Summary'!$F19</f>
        <v>35.079274999999996</v>
      </c>
      <c r="D19" s="8">
        <f>'[1]Buffer Summary'!$D19</f>
        <v>37.999866666666662</v>
      </c>
      <c r="E19" s="7">
        <f>'[1]Buffer Summary'!$B19</f>
        <v>20.045300000000001</v>
      </c>
      <c r="F19" s="13">
        <v>44</v>
      </c>
      <c r="G19" s="14">
        <f t="shared" si="0"/>
        <v>35.079274999999996</v>
      </c>
      <c r="H19" s="14">
        <f t="shared" si="1"/>
        <v>73.079141666666658</v>
      </c>
      <c r="I19" s="15">
        <f t="shared" si="2"/>
        <v>93.124441666666655</v>
      </c>
      <c r="J19" s="16">
        <f>'Wk -2 Analysis'!N19</f>
        <v>47.5</v>
      </c>
      <c r="K19" s="14">
        <f>'[2]On-Order'!$D19+'Wk -2 Analysis'!Q19</f>
        <v>200</v>
      </c>
      <c r="L19" s="14">
        <f>[2]Consume!$E19</f>
        <v>17.600000000000001</v>
      </c>
      <c r="M19" s="14">
        <f t="shared" si="3"/>
        <v>229.9</v>
      </c>
      <c r="N19" s="21">
        <f>J19+[2]Arrival!$E19-[2]Consume!$E19</f>
        <v>29.9</v>
      </c>
      <c r="O19" s="22">
        <f t="shared" si="4"/>
        <v>2.4687396336067522</v>
      </c>
      <c r="P19" s="14"/>
      <c r="Q19" s="14"/>
      <c r="R19" s="14"/>
      <c r="S19" s="14"/>
    </row>
    <row r="20" spans="1:19">
      <c r="A20" s="3" t="s">
        <v>37</v>
      </c>
      <c r="B20" s="4">
        <v>15</v>
      </c>
      <c r="C20" s="9">
        <f>'[1]Buffer Summary'!$F20</f>
        <v>51.674885500000002</v>
      </c>
      <c r="D20" s="8">
        <f>'[1]Buffer Summary'!$D20</f>
        <v>41.339908400000006</v>
      </c>
      <c r="E20" s="7">
        <f>'[1]Buffer Summary'!$B20</f>
        <v>29.528506000000004</v>
      </c>
      <c r="F20" s="13">
        <v>21</v>
      </c>
      <c r="G20" s="14">
        <f t="shared" si="0"/>
        <v>51.674885500000002</v>
      </c>
      <c r="H20" s="14">
        <f t="shared" si="1"/>
        <v>93.014793900000001</v>
      </c>
      <c r="I20" s="15">
        <f t="shared" si="2"/>
        <v>122.54329990000001</v>
      </c>
      <c r="J20" s="16">
        <f>'Wk -2 Analysis'!N20</f>
        <v>70.400000000000006</v>
      </c>
      <c r="K20" s="14">
        <f>'[2]On-Order'!$D20+'Wk -2 Analysis'!Q20</f>
        <v>0</v>
      </c>
      <c r="L20" s="14">
        <f>[2]Consume!$E20</f>
        <v>28.9</v>
      </c>
      <c r="M20" s="14">
        <f t="shared" si="3"/>
        <v>41.500000000000007</v>
      </c>
      <c r="N20" s="21">
        <f>J20+[2]Arrival!$E20-[2]Consume!$E20</f>
        <v>41.500000000000007</v>
      </c>
      <c r="O20" s="22">
        <f t="shared" si="4"/>
        <v>0.33865580602012174</v>
      </c>
      <c r="P20" s="23">
        <f>I20-M20</f>
        <v>81.043299899999994</v>
      </c>
      <c r="Q20" s="23">
        <f>B20*6</f>
        <v>90</v>
      </c>
      <c r="R20" s="23" t="s">
        <v>46</v>
      </c>
      <c r="S20" s="24">
        <f>P20/Q20</f>
        <v>0.90048110999999997</v>
      </c>
    </row>
    <row r="21" spans="1:19">
      <c r="A21" s="3" t="s">
        <v>38</v>
      </c>
      <c r="B21" s="4">
        <v>20</v>
      </c>
      <c r="C21" s="9">
        <f>'[1]Buffer Summary'!$F21</f>
        <v>78.086971199999979</v>
      </c>
      <c r="D21" s="8">
        <f>'[1]Buffer Summary'!$D21</f>
        <v>130.88863743999997</v>
      </c>
      <c r="E21" s="7">
        <f>'[1]Buffer Summary'!$B21</f>
        <v>44.621126399999994</v>
      </c>
      <c r="F21" s="13">
        <v>44</v>
      </c>
      <c r="G21" s="14">
        <f t="shared" si="0"/>
        <v>78.086971199999979</v>
      </c>
      <c r="H21" s="14">
        <f t="shared" si="1"/>
        <v>208.97560863999996</v>
      </c>
      <c r="I21" s="15">
        <f t="shared" si="2"/>
        <v>253.59673503999994</v>
      </c>
      <c r="J21" s="16">
        <f>'Wk -2 Analysis'!N21</f>
        <v>239.6</v>
      </c>
      <c r="K21" s="14">
        <f>'[2]On-Order'!$D21+'Wk -2 Analysis'!Q21</f>
        <v>100</v>
      </c>
      <c r="L21" s="14">
        <f>[2]Consume!$E21</f>
        <v>59.6</v>
      </c>
      <c r="M21" s="14">
        <f t="shared" si="3"/>
        <v>280</v>
      </c>
      <c r="N21" s="21">
        <f>J21+[2]Arrival!$E21-[2]Consume!$E21</f>
        <v>180</v>
      </c>
      <c r="O21" s="22">
        <f t="shared" si="4"/>
        <v>1.1041151612454136</v>
      </c>
      <c r="P21" s="14"/>
      <c r="Q21" s="14"/>
      <c r="R21" s="14"/>
      <c r="S21" s="14"/>
    </row>
    <row r="22" spans="1:19">
      <c r="A22" s="3" t="s">
        <v>39</v>
      </c>
      <c r="B22" s="5">
        <v>1000</v>
      </c>
      <c r="C22" s="9">
        <f>'[1]Buffer Summary'!$F22</f>
        <v>2019.8313333333331</v>
      </c>
      <c r="D22" s="8">
        <f>'[1]Buffer Summary'!$D22</f>
        <v>2912.6439999999998</v>
      </c>
      <c r="E22" s="7">
        <f>'[1]Buffer Summary'!$B22</f>
        <v>1154.1893333333333</v>
      </c>
      <c r="F22" s="13">
        <v>21</v>
      </c>
      <c r="G22" s="14">
        <f t="shared" si="0"/>
        <v>2019.8313333333331</v>
      </c>
      <c r="H22" s="14">
        <f t="shared" si="1"/>
        <v>4932.4753333333329</v>
      </c>
      <c r="I22" s="15">
        <f t="shared" si="2"/>
        <v>6086.6646666666657</v>
      </c>
      <c r="J22" s="16">
        <f>'Wk -2 Analysis'!N22</f>
        <v>3782</v>
      </c>
      <c r="K22" s="14">
        <f>'[2]On-Order'!$D22+'Wk -2 Analysis'!Q22</f>
        <v>0</v>
      </c>
      <c r="L22" s="14">
        <f>[2]Consume!$E22</f>
        <v>345</v>
      </c>
      <c r="M22" s="14">
        <f t="shared" si="3"/>
        <v>3437</v>
      </c>
      <c r="N22" s="21">
        <f>J22+[2]Arrival!$E22-[2]Consume!$E22</f>
        <v>3437</v>
      </c>
      <c r="O22" s="22">
        <f t="shared" si="4"/>
        <v>0.56467707492127339</v>
      </c>
      <c r="P22" s="14"/>
      <c r="Q22" s="14"/>
      <c r="R22" s="14"/>
      <c r="S22" s="14"/>
    </row>
    <row r="23" spans="1:19">
      <c r="A23" s="3" t="s">
        <v>40</v>
      </c>
      <c r="B23" s="4">
        <v>990</v>
      </c>
      <c r="C23" s="9">
        <f>'[1]Buffer Summary'!$F23</f>
        <v>60066.551999999989</v>
      </c>
      <c r="D23" s="8">
        <f>'[1]Buffer Summary'!$D23</f>
        <v>13348.122666666666</v>
      </c>
      <c r="E23" s="7">
        <f>'[1]Buffer Summary'!$B23</f>
        <v>40044.367999999995</v>
      </c>
      <c r="F23" s="13">
        <v>14</v>
      </c>
      <c r="G23" s="14">
        <f t="shared" si="0"/>
        <v>60066.551999999989</v>
      </c>
      <c r="H23" s="14">
        <f t="shared" si="1"/>
        <v>73414.674666666659</v>
      </c>
      <c r="I23" s="15">
        <f t="shared" si="2"/>
        <v>113459.04266666665</v>
      </c>
      <c r="J23" s="16">
        <f>'Wk -2 Analysis'!N23</f>
        <v>16036</v>
      </c>
      <c r="K23" s="14">
        <f>'[2]On-Order'!$D23+'Wk -2 Analysis'!Q23</f>
        <v>106920</v>
      </c>
      <c r="L23" s="14">
        <f>[2]Consume!$E23</f>
        <v>1768</v>
      </c>
      <c r="M23" s="14">
        <f t="shared" si="3"/>
        <v>121188</v>
      </c>
      <c r="N23" s="21">
        <f>J23+[2]Arrival!$E23-[2]Consume!$E23</f>
        <v>14268</v>
      </c>
      <c r="O23" s="22">
        <f t="shared" si="4"/>
        <v>1.0681211224039708</v>
      </c>
      <c r="P23" s="25"/>
      <c r="Q23" s="25"/>
      <c r="R23" s="25"/>
      <c r="S23" s="25"/>
    </row>
    <row r="24" spans="1:19">
      <c r="A24" s="3" t="s">
        <v>41</v>
      </c>
      <c r="B24" s="4">
        <v>990</v>
      </c>
      <c r="C24" s="9">
        <f>'[1]Buffer Summary'!$F24</f>
        <v>107959.068</v>
      </c>
      <c r="D24" s="8">
        <f>'[1]Buffer Summary'!$D24</f>
        <v>23990.904000000002</v>
      </c>
      <c r="E24" s="7">
        <f>'[1]Buffer Summary'!$B24</f>
        <v>71972.712</v>
      </c>
      <c r="F24" s="13">
        <v>14</v>
      </c>
      <c r="G24" s="14">
        <f t="shared" si="0"/>
        <v>107959.068</v>
      </c>
      <c r="H24" s="14">
        <f t="shared" si="1"/>
        <v>131949.97200000001</v>
      </c>
      <c r="I24" s="15">
        <f t="shared" si="2"/>
        <v>203922.68400000001</v>
      </c>
      <c r="J24" s="16">
        <f>'Wk -2 Analysis'!N24</f>
        <v>32417</v>
      </c>
      <c r="K24" s="14">
        <f>'[2]On-Order'!$D24+'Wk -2 Analysis'!Q24</f>
        <v>204870</v>
      </c>
      <c r="L24" s="14">
        <f>[2]Consume!$E24</f>
        <v>4447</v>
      </c>
      <c r="M24" s="14">
        <f t="shared" si="3"/>
        <v>232840</v>
      </c>
      <c r="N24" s="21">
        <f>J24+[2]Arrival!$E24-[2]Consume!$E24</f>
        <v>27970</v>
      </c>
      <c r="O24" s="22">
        <f t="shared" si="4"/>
        <v>1.1418052932257403</v>
      </c>
      <c r="P24" s="25"/>
      <c r="Q24" s="25"/>
      <c r="R24" s="25"/>
      <c r="S24" s="25"/>
    </row>
    <row r="25" spans="1:19">
      <c r="A25" s="3" t="s">
        <v>42</v>
      </c>
      <c r="B25" s="4">
        <v>202</v>
      </c>
      <c r="C25" s="9">
        <f>'[1]Buffer Summary'!$F25</f>
        <v>1135.0720919999999</v>
      </c>
      <c r="D25" s="8">
        <f>'[1]Buffer Summary'!$D25</f>
        <v>252.23824266666665</v>
      </c>
      <c r="E25" s="7">
        <f>'[1]Buffer Summary'!$B25</f>
        <v>756.71472799999992</v>
      </c>
      <c r="F25" s="13">
        <v>14</v>
      </c>
      <c r="G25" s="14">
        <f t="shared" si="0"/>
        <v>1135.0720919999999</v>
      </c>
      <c r="H25" s="14">
        <f t="shared" si="1"/>
        <v>1387.3103346666664</v>
      </c>
      <c r="I25" s="15">
        <f t="shared" si="2"/>
        <v>2144.0250626666666</v>
      </c>
      <c r="J25" s="16">
        <f>'Wk -2 Analysis'!N25</f>
        <v>833.2</v>
      </c>
      <c r="K25" s="14">
        <f>'[2]On-Order'!$D25+'Wk -2 Analysis'!Q25</f>
        <v>0</v>
      </c>
      <c r="L25" s="14">
        <f>[2]Consume!$E25</f>
        <v>67.900000000000006</v>
      </c>
      <c r="M25" s="14">
        <f t="shared" si="3"/>
        <v>765.30000000000007</v>
      </c>
      <c r="N25" s="21">
        <f>J25+[2]Arrival!$E25-[2]Consume!$E25</f>
        <v>765.30000000000007</v>
      </c>
      <c r="O25" s="22">
        <f t="shared" si="4"/>
        <v>0.35694545428874119</v>
      </c>
      <c r="P25" s="23">
        <f>I25-M25</f>
        <v>1378.7250626666664</v>
      </c>
      <c r="Q25" s="23">
        <f>B25*7</f>
        <v>1414</v>
      </c>
      <c r="R25" s="23" t="s">
        <v>46</v>
      </c>
      <c r="S25" s="24">
        <f>P25/Q25</f>
        <v>0.975053085337105</v>
      </c>
    </row>
    <row r="26" spans="1:19">
      <c r="A26" s="3" t="s">
        <v>43</v>
      </c>
      <c r="B26" s="5">
        <v>1300</v>
      </c>
      <c r="C26" s="9">
        <f>'[1]Buffer Summary'!$F26</f>
        <v>16720.871999999996</v>
      </c>
      <c r="D26" s="8">
        <f>'[1]Buffer Summary'!$D26</f>
        <v>5573.6239999999998</v>
      </c>
      <c r="E26" s="7">
        <f>'[1]Buffer Summary'!$B26</f>
        <v>11147.248</v>
      </c>
      <c r="F26" s="13">
        <v>14</v>
      </c>
      <c r="G26" s="14">
        <f t="shared" si="0"/>
        <v>16720.871999999996</v>
      </c>
      <c r="H26" s="14">
        <f t="shared" si="1"/>
        <v>22294.495999999996</v>
      </c>
      <c r="I26" s="15">
        <f t="shared" si="2"/>
        <v>33441.743999999992</v>
      </c>
      <c r="J26" s="16">
        <f>'Wk -2 Analysis'!N26</f>
        <v>20685</v>
      </c>
      <c r="K26" s="14">
        <f>'[2]On-Order'!$D26+'Wk -2 Analysis'!Q26</f>
        <v>0</v>
      </c>
      <c r="L26" s="14">
        <f>[2]Consume!$E26</f>
        <v>491</v>
      </c>
      <c r="M26" s="14">
        <f t="shared" si="3"/>
        <v>20194</v>
      </c>
      <c r="N26" s="21">
        <f>J26+[2]Arrival!$E26-[2]Consume!$E26</f>
        <v>20194</v>
      </c>
      <c r="O26" s="22">
        <f t="shared" si="4"/>
        <v>0.60385606683670578</v>
      </c>
      <c r="P26" s="14"/>
      <c r="Q26" s="14"/>
      <c r="R26" s="14"/>
      <c r="S26" s="14"/>
    </row>
    <row r="27" spans="1:19">
      <c r="A27" s="3" t="s">
        <v>44</v>
      </c>
      <c r="B27" s="5">
        <v>102000</v>
      </c>
      <c r="C27" s="9">
        <f>'[1]Buffer Summary'!$F27</f>
        <v>155361.12</v>
      </c>
      <c r="D27" s="8">
        <f>'[1]Buffer Summary'!$D27</f>
        <v>23897.421333333332</v>
      </c>
      <c r="E27" s="7">
        <f>'[1]Buffer Summary'!$B27</f>
        <v>103574.07999999999</v>
      </c>
      <c r="F27" s="13">
        <v>14</v>
      </c>
      <c r="G27" s="14">
        <f t="shared" si="0"/>
        <v>155361.12</v>
      </c>
      <c r="H27" s="14">
        <f t="shared" si="1"/>
        <v>179258.54133333333</v>
      </c>
      <c r="I27" s="15">
        <f t="shared" si="2"/>
        <v>282832.62133333331</v>
      </c>
      <c r="J27" s="16">
        <f>'Wk -2 Analysis'!N27</f>
        <v>94829</v>
      </c>
      <c r="K27" s="14">
        <f>'[2]On-Order'!$D27+'Wk -2 Analysis'!Q27</f>
        <v>0</v>
      </c>
      <c r="L27" s="14">
        <f>[2]Consume!$E27</f>
        <v>4225</v>
      </c>
      <c r="M27" s="14">
        <f t="shared" si="3"/>
        <v>90604</v>
      </c>
      <c r="N27" s="21">
        <f>J27+[2]Arrival!$E27-[2]Consume!$E27</f>
        <v>90604</v>
      </c>
      <c r="O27" s="22">
        <f t="shared" si="4"/>
        <v>0.32034494314295647</v>
      </c>
      <c r="P27" s="23">
        <f>I27-M27</f>
        <v>192228.62133333331</v>
      </c>
      <c r="Q27" s="23">
        <f>B27*2</f>
        <v>204000</v>
      </c>
      <c r="R27" s="23" t="s">
        <v>46</v>
      </c>
      <c r="S27" s="24">
        <f>P27/Q27</f>
        <v>0.94229716339869274</v>
      </c>
    </row>
    <row r="28" spans="1:19">
      <c r="A28" s="3" t="s">
        <v>45</v>
      </c>
      <c r="B28" s="5">
        <v>102000</v>
      </c>
      <c r="C28" s="9">
        <f>'[1]Buffer Summary'!$F28</f>
        <v>155281.37599999999</v>
      </c>
      <c r="D28" s="8">
        <f>'[1]Buffer Summary'!$D28</f>
        <v>24017.541333333334</v>
      </c>
      <c r="E28" s="7">
        <f>'[1]Buffer Summary'!$B28</f>
        <v>103520.91733333333</v>
      </c>
      <c r="F28" s="13">
        <v>14</v>
      </c>
      <c r="G28" s="14">
        <f t="shared" si="0"/>
        <v>155281.37599999999</v>
      </c>
      <c r="H28" s="14">
        <f t="shared" si="1"/>
        <v>179298.91733333332</v>
      </c>
      <c r="I28" s="15">
        <f t="shared" si="2"/>
        <v>282819.83466666663</v>
      </c>
      <c r="J28" s="16">
        <f>'Wk -2 Analysis'!N28</f>
        <v>100202</v>
      </c>
      <c r="K28" s="14">
        <f>'[2]On-Order'!$D28+'Wk -2 Analysis'!Q28</f>
        <v>0</v>
      </c>
      <c r="L28" s="14">
        <f>[2]Consume!$E28</f>
        <v>4170</v>
      </c>
      <c r="M28" s="14">
        <f t="shared" si="3"/>
        <v>96032</v>
      </c>
      <c r="N28" s="21">
        <f>J28+[2]Arrival!$E28-[2]Consume!$E28</f>
        <v>96032</v>
      </c>
      <c r="O28" s="22">
        <f t="shared" si="4"/>
        <v>0.33955185679669164</v>
      </c>
      <c r="P28" s="23">
        <f>I28-M28</f>
        <v>186787.83466666663</v>
      </c>
      <c r="Q28" s="23">
        <f>B28*2</f>
        <v>204000</v>
      </c>
      <c r="R28" s="23" t="s">
        <v>46</v>
      </c>
      <c r="S28" s="24">
        <f t="shared" ref="S28" si="5">P28/Q28</f>
        <v>0.91562664052287568</v>
      </c>
    </row>
  </sheetData>
  <conditionalFormatting sqref="O3:O28">
    <cfRule type="top10" dxfId="12" priority="1" bottom="1" rank="5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F803C-5619-404C-9E9A-295BD07C630D}">
  <dimension ref="A2:S28"/>
  <sheetViews>
    <sheetView topLeftCell="A3" workbookViewId="0">
      <selection activeCell="P17" sqref="P17:S17"/>
    </sheetView>
  </sheetViews>
  <sheetFormatPr defaultRowHeight="15"/>
  <cols>
    <col min="4" max="4" width="11.140625" bestFit="1" customWidth="1"/>
    <col min="5" max="5" width="10.7109375" bestFit="1" customWidth="1"/>
    <col min="6" max="6" width="9.28515625" customWidth="1"/>
    <col min="10" max="10" width="8.28515625" style="17" customWidth="1"/>
    <col min="11" max="11" width="10" customWidth="1"/>
    <col min="12" max="12" width="10.5703125" customWidth="1"/>
    <col min="16" max="18" width="10.28515625" customWidth="1"/>
    <col min="19" max="19" width="10.7109375" customWidth="1"/>
  </cols>
  <sheetData>
    <row r="2" spans="1:19" ht="33">
      <c r="A2" s="1" t="s">
        <v>0</v>
      </c>
      <c r="B2" s="6" t="s">
        <v>1</v>
      </c>
      <c r="C2" s="11" t="s">
        <v>2</v>
      </c>
      <c r="D2" s="10" t="s">
        <v>3</v>
      </c>
      <c r="E2" s="12" t="s">
        <v>4</v>
      </c>
      <c r="F2" s="6" t="s">
        <v>5</v>
      </c>
      <c r="G2" s="6" t="s">
        <v>6</v>
      </c>
      <c r="H2" s="6" t="s">
        <v>7</v>
      </c>
      <c r="I2" s="18" t="s">
        <v>8</v>
      </c>
      <c r="J2" s="19" t="s">
        <v>9</v>
      </c>
      <c r="K2" s="6" t="s">
        <v>10</v>
      </c>
      <c r="L2" s="18" t="s">
        <v>11</v>
      </c>
      <c r="M2" s="20" t="s">
        <v>12</v>
      </c>
      <c r="N2" s="20" t="s">
        <v>13</v>
      </c>
      <c r="O2" s="20" t="s">
        <v>14</v>
      </c>
      <c r="P2" s="20" t="s">
        <v>15</v>
      </c>
      <c r="Q2" s="20" t="s">
        <v>16</v>
      </c>
      <c r="R2" s="20" t="s">
        <v>17</v>
      </c>
      <c r="S2" s="20" t="s">
        <v>18</v>
      </c>
    </row>
    <row r="3" spans="1:19">
      <c r="A3" s="2" t="s">
        <v>19</v>
      </c>
      <c r="B3" s="4">
        <v>850</v>
      </c>
      <c r="C3" s="9">
        <f>'[1]Buffer Summary'!$F3</f>
        <v>9705.8630864999996</v>
      </c>
      <c r="D3" s="8">
        <f>'[1]Buffer Summary'!$D3</f>
        <v>7764.6904691999998</v>
      </c>
      <c r="E3" s="7">
        <f>'[1]Buffer Summary'!$B3</f>
        <v>5546.2074779999994</v>
      </c>
      <c r="F3" s="13">
        <v>21</v>
      </c>
      <c r="G3" s="14">
        <f>C3</f>
        <v>9705.8630864999996</v>
      </c>
      <c r="H3" s="14">
        <f>C3+D3</f>
        <v>17470.5535557</v>
      </c>
      <c r="I3" s="15">
        <f>C3+D3+E3</f>
        <v>23016.761033700001</v>
      </c>
      <c r="J3" s="16">
        <f>'Wk -1 Analysis '!N3</f>
        <v>13478.5</v>
      </c>
      <c r="K3" s="14">
        <f>'[2]On-Order'!$E3+'Wk -1 Analysis '!Q3+'Wk -2 Analysis'!Q3</f>
        <v>7190</v>
      </c>
      <c r="L3" s="14">
        <f>[2]Consume!$F3</f>
        <v>399.6</v>
      </c>
      <c r="M3" s="14">
        <f>J3+K3-L3</f>
        <v>20268.900000000001</v>
      </c>
      <c r="N3" s="21">
        <f>J3+[2]Arrival!$F3-[2]Consume!$F3</f>
        <v>13078.9</v>
      </c>
      <c r="O3" s="22">
        <f>M3/I3</f>
        <v>0.88061478199835685</v>
      </c>
      <c r="P3" s="14"/>
      <c r="Q3" s="14"/>
      <c r="R3" s="14"/>
      <c r="S3" s="14"/>
    </row>
    <row r="4" spans="1:19">
      <c r="A4" s="2" t="s">
        <v>20</v>
      </c>
      <c r="B4" s="4">
        <v>700</v>
      </c>
      <c r="C4" s="9">
        <f>'[1]Buffer Summary'!$F4</f>
        <v>1225</v>
      </c>
      <c r="D4" s="8">
        <f>'[1]Buffer Summary'!$D4</f>
        <v>511.33672799999994</v>
      </c>
      <c r="E4" s="7">
        <f>'[1]Buffer Summary'!$B4</f>
        <v>700</v>
      </c>
      <c r="F4" s="13">
        <v>21</v>
      </c>
      <c r="G4" s="14">
        <f t="shared" ref="G4:G28" si="0">C4</f>
        <v>1225</v>
      </c>
      <c r="H4" s="14">
        <f t="shared" ref="H4:H28" si="1">C4+D4</f>
        <v>1736.336728</v>
      </c>
      <c r="I4" s="15">
        <f t="shared" ref="I4:I28" si="2">C4+D4+E4</f>
        <v>2436.3367280000002</v>
      </c>
      <c r="J4" s="16">
        <f>'Wk -1 Analysis '!N4</f>
        <v>625.19999999999993</v>
      </c>
      <c r="K4" s="14">
        <f>'[2]On-Order'!$E4+'Wk -1 Analysis '!Q4+'Wk -2 Analysis'!Q4</f>
        <v>520</v>
      </c>
      <c r="L4" s="14">
        <f>[2]Consume!$F4</f>
        <v>9.1999999999999993</v>
      </c>
      <c r="M4" s="14">
        <f t="shared" ref="M4:M28" si="3">J4+K4-L4</f>
        <v>1135.9999999999998</v>
      </c>
      <c r="N4" s="21">
        <f>J4+[2]Arrival!$F4-[2]Consume!$F4</f>
        <v>1135.9999999999998</v>
      </c>
      <c r="O4" s="22">
        <f t="shared" ref="O4:O28" si="4">M4/I4</f>
        <v>0.46627380646703431</v>
      </c>
      <c r="P4" s="23">
        <f>I4-M4</f>
        <v>1300.3367280000004</v>
      </c>
      <c r="Q4" s="23">
        <f>B4*2</f>
        <v>1400</v>
      </c>
      <c r="R4" s="23" t="s">
        <v>47</v>
      </c>
      <c r="S4" s="24">
        <f>P4/Q4</f>
        <v>0.9288119485714289</v>
      </c>
    </row>
    <row r="5" spans="1:19">
      <c r="A5" s="2" t="s">
        <v>21</v>
      </c>
      <c r="B5" s="4">
        <v>220</v>
      </c>
      <c r="C5" s="9">
        <f>'[1]Buffer Summary'!$F5</f>
        <v>399.88980499999997</v>
      </c>
      <c r="D5" s="8">
        <f>'[1]Buffer Summary'!$D5</f>
        <v>298.45594799999998</v>
      </c>
      <c r="E5" s="7">
        <f>'[1]Buffer Summary'!$B5</f>
        <v>228.50846000000001</v>
      </c>
      <c r="F5" s="13">
        <v>21</v>
      </c>
      <c r="G5" s="14">
        <f t="shared" si="0"/>
        <v>399.88980499999997</v>
      </c>
      <c r="H5" s="14">
        <f t="shared" si="1"/>
        <v>698.34575299999995</v>
      </c>
      <c r="I5" s="15">
        <f t="shared" si="2"/>
        <v>926.85421299999996</v>
      </c>
      <c r="J5" s="16">
        <f>'Wk -1 Analysis '!N5</f>
        <v>567.4</v>
      </c>
      <c r="K5" s="14">
        <f>'[2]On-Order'!$E5+'Wk -1 Analysis '!Q5+'Wk -2 Analysis'!Q5</f>
        <v>440</v>
      </c>
      <c r="L5" s="14">
        <f>[2]Consume!$F5</f>
        <v>17.399999999999999</v>
      </c>
      <c r="M5" s="14">
        <f t="shared" si="3"/>
        <v>990</v>
      </c>
      <c r="N5" s="21">
        <f>J5+[2]Arrival!$F5-[2]Consume!$F5</f>
        <v>550</v>
      </c>
      <c r="O5" s="22">
        <f t="shared" si="4"/>
        <v>1.0681291470808689</v>
      </c>
      <c r="P5" s="14"/>
      <c r="Q5" s="14"/>
      <c r="R5" s="14"/>
      <c r="S5" s="14"/>
    </row>
    <row r="6" spans="1:19">
      <c r="A6" s="2" t="s">
        <v>22</v>
      </c>
      <c r="B6" s="4">
        <v>916</v>
      </c>
      <c r="C6" s="9">
        <f>'[1]Buffer Summary'!$F6</f>
        <v>5833.8262500000001</v>
      </c>
      <c r="D6" s="8">
        <f>'[1]Buffer Summary'!$D6</f>
        <v>4667.0609999999997</v>
      </c>
      <c r="E6" s="7">
        <f>'[1]Buffer Summary'!$B6</f>
        <v>3333.6149999999993</v>
      </c>
      <c r="F6" s="13">
        <v>21</v>
      </c>
      <c r="G6" s="14">
        <f t="shared" si="0"/>
        <v>5833.8262500000001</v>
      </c>
      <c r="H6" s="14">
        <f t="shared" si="1"/>
        <v>10500.88725</v>
      </c>
      <c r="I6" s="15">
        <f t="shared" si="2"/>
        <v>13834.50225</v>
      </c>
      <c r="J6" s="16">
        <f>'Wk -1 Analysis '!N6</f>
        <v>4207.2</v>
      </c>
      <c r="K6" s="14">
        <f>'[2]On-Order'!$E6+'Wk -1 Analysis '!Q6+'Wk -2 Analysis'!Q6</f>
        <v>5565</v>
      </c>
      <c r="L6" s="14">
        <f>[2]Consume!$F6</f>
        <v>46.5</v>
      </c>
      <c r="M6" s="14">
        <f t="shared" si="3"/>
        <v>9725.7000000000007</v>
      </c>
      <c r="N6" s="21">
        <f>J6+[2]Arrival!$F6-[2]Consume!$F6</f>
        <v>6949.7</v>
      </c>
      <c r="O6" s="22">
        <f t="shared" si="4"/>
        <v>0.70300324682805271</v>
      </c>
      <c r="P6" s="14"/>
      <c r="Q6" s="14"/>
      <c r="R6" s="14"/>
      <c r="S6" s="14"/>
    </row>
    <row r="7" spans="1:19">
      <c r="A7" s="2" t="s">
        <v>23</v>
      </c>
      <c r="B7" s="4">
        <v>300</v>
      </c>
      <c r="C7" s="9">
        <f>'[1]Buffer Summary'!$F7</f>
        <v>1105.12941</v>
      </c>
      <c r="D7" s="8">
        <f>'[1]Buffer Summary'!$D7</f>
        <v>884.10352799999998</v>
      </c>
      <c r="E7" s="7">
        <f>'[1]Buffer Summary'!$B7</f>
        <v>631.50251999999989</v>
      </c>
      <c r="F7" s="13">
        <v>21</v>
      </c>
      <c r="G7" s="14">
        <f t="shared" si="0"/>
        <v>1105.12941</v>
      </c>
      <c r="H7" s="14">
        <f t="shared" si="1"/>
        <v>1989.2329380000001</v>
      </c>
      <c r="I7" s="15">
        <f t="shared" si="2"/>
        <v>2620.7354580000001</v>
      </c>
      <c r="J7" s="16">
        <f>'Wk -1 Analysis '!N7</f>
        <v>1764.6</v>
      </c>
      <c r="K7" s="14">
        <f>'[2]On-Order'!$E7+'Wk -1 Analysis '!Q7+'Wk -2 Analysis'!Q7</f>
        <v>0</v>
      </c>
      <c r="L7" s="14">
        <f>[2]Consume!$F7</f>
        <v>26.5</v>
      </c>
      <c r="M7" s="14">
        <f t="shared" si="3"/>
        <v>1738.1</v>
      </c>
      <c r="N7" s="21">
        <f>J7+[2]Arrival!$F7-[2]Consume!$F7</f>
        <v>1738.1</v>
      </c>
      <c r="O7" s="22">
        <f t="shared" si="4"/>
        <v>0.66321077722450528</v>
      </c>
      <c r="P7" s="14"/>
      <c r="Q7" s="14"/>
      <c r="R7" s="14"/>
      <c r="S7" s="14"/>
    </row>
    <row r="8" spans="1:19">
      <c r="A8" s="3" t="s">
        <v>24</v>
      </c>
      <c r="B8" s="4">
        <v>700</v>
      </c>
      <c r="C8" s="9">
        <f>'[1]Buffer Summary'!$F8</f>
        <v>14594.65</v>
      </c>
      <c r="D8" s="8">
        <f>'[1]Buffer Summary'!$D8</f>
        <v>25019.4</v>
      </c>
      <c r="E8" s="7">
        <f>'[1]Buffer Summary'!$B8</f>
        <v>8339.7999999999993</v>
      </c>
      <c r="F8" s="13">
        <v>21</v>
      </c>
      <c r="G8" s="14">
        <f t="shared" si="0"/>
        <v>14594.65</v>
      </c>
      <c r="H8" s="14">
        <f t="shared" si="1"/>
        <v>39614.050000000003</v>
      </c>
      <c r="I8" s="15">
        <f t="shared" si="2"/>
        <v>47953.850000000006</v>
      </c>
      <c r="J8" s="16">
        <f>'Wk -1 Analysis '!N8</f>
        <v>21851</v>
      </c>
      <c r="K8" s="14">
        <f>'[2]On-Order'!$E8+'Wk -1 Analysis '!Q8+'Wk -2 Analysis'!Q8</f>
        <v>10500</v>
      </c>
      <c r="L8" s="14">
        <f>[2]Consume!$F8</f>
        <v>7350</v>
      </c>
      <c r="M8" s="14">
        <f t="shared" si="3"/>
        <v>25001</v>
      </c>
      <c r="N8" s="21">
        <f>J8+[2]Arrival!$F8-[2]Consume!$F8</f>
        <v>14501</v>
      </c>
      <c r="O8" s="22">
        <f t="shared" si="4"/>
        <v>0.52135542818772629</v>
      </c>
      <c r="P8" s="23">
        <f>I8-M8</f>
        <v>22952.850000000006</v>
      </c>
      <c r="Q8" s="23">
        <f>B8*33</f>
        <v>23100</v>
      </c>
      <c r="R8" s="23" t="s">
        <v>47</v>
      </c>
      <c r="S8" s="24">
        <f>P8/Q8</f>
        <v>0.99362987012987036</v>
      </c>
    </row>
    <row r="9" spans="1:19">
      <c r="A9" s="3" t="s">
        <v>25</v>
      </c>
      <c r="B9" s="4">
        <v>850</v>
      </c>
      <c r="C9" s="9">
        <f>'[1]Buffer Summary'!$F9</f>
        <v>9705.8630864999996</v>
      </c>
      <c r="D9" s="8">
        <f>'[1]Buffer Summary'!$D9</f>
        <v>7764.6904691999998</v>
      </c>
      <c r="E9" s="7">
        <f>'[1]Buffer Summary'!$B9</f>
        <v>5546.2074779999994</v>
      </c>
      <c r="F9" s="13">
        <v>21</v>
      </c>
      <c r="G9" s="14">
        <f t="shared" si="0"/>
        <v>9705.8630864999996</v>
      </c>
      <c r="H9" s="14">
        <f t="shared" si="1"/>
        <v>17470.5535557</v>
      </c>
      <c r="I9" s="15">
        <f t="shared" si="2"/>
        <v>23016.761033700001</v>
      </c>
      <c r="J9" s="16">
        <f>'Wk -1 Analysis '!N9</f>
        <v>13478.5</v>
      </c>
      <c r="K9" s="14">
        <f>'[2]On-Order'!$E9+'Wk -1 Analysis '!Q9+'Wk -2 Analysis'!Q9</f>
        <v>7190</v>
      </c>
      <c r="L9" s="14">
        <f>[2]Consume!$F9</f>
        <v>399.6</v>
      </c>
      <c r="M9" s="14">
        <f t="shared" si="3"/>
        <v>20268.900000000001</v>
      </c>
      <c r="N9" s="21">
        <f>J9+[2]Arrival!$F9-[2]Consume!$F9</f>
        <v>13078.9</v>
      </c>
      <c r="O9" s="22">
        <f t="shared" si="4"/>
        <v>0.88061478199835685</v>
      </c>
      <c r="P9" s="14"/>
      <c r="Q9" s="14"/>
      <c r="R9" s="14"/>
      <c r="S9" s="14"/>
    </row>
    <row r="10" spans="1:19">
      <c r="A10" s="3" t="s">
        <v>26</v>
      </c>
      <c r="B10" s="5">
        <v>6272</v>
      </c>
      <c r="C10" s="9">
        <f>'[1]Buffer Summary'!$F10</f>
        <v>10976</v>
      </c>
      <c r="D10" s="8">
        <f>'[1]Buffer Summary'!$D10</f>
        <v>876.23199999999997</v>
      </c>
      <c r="E10" s="7">
        <f>'[1]Buffer Summary'!$B10</f>
        <v>6272</v>
      </c>
      <c r="F10" s="13">
        <v>21</v>
      </c>
      <c r="G10" s="14">
        <f t="shared" si="0"/>
        <v>10976</v>
      </c>
      <c r="H10" s="14">
        <f t="shared" si="1"/>
        <v>11852.232</v>
      </c>
      <c r="I10" s="15">
        <f t="shared" si="2"/>
        <v>18124.232</v>
      </c>
      <c r="J10" s="16">
        <f>'Wk -1 Analysis '!N10</f>
        <v>629</v>
      </c>
      <c r="K10" s="14">
        <f>'[2]On-Order'!$E10+'Wk -1 Analysis '!Q10+'Wk -2 Analysis'!Q10</f>
        <v>18816</v>
      </c>
      <c r="L10" s="14">
        <f>[2]Consume!$F10</f>
        <v>52</v>
      </c>
      <c r="M10" s="14">
        <f t="shared" si="3"/>
        <v>19393</v>
      </c>
      <c r="N10" s="21">
        <f>J10+[2]Arrival!$F10-[2]Consume!$F10</f>
        <v>577</v>
      </c>
      <c r="O10" s="22">
        <f t="shared" si="4"/>
        <v>1.0700039593401807</v>
      </c>
      <c r="P10" s="14"/>
      <c r="Q10" s="14"/>
      <c r="R10" s="14"/>
      <c r="S10" s="32"/>
    </row>
    <row r="11" spans="1:19">
      <c r="A11" s="3" t="s">
        <v>28</v>
      </c>
      <c r="B11" s="5">
        <v>6400</v>
      </c>
      <c r="C11" s="9">
        <f>'[1]Buffer Summary'!$F11</f>
        <v>11200</v>
      </c>
      <c r="D11" s="8">
        <f>'[1]Buffer Summary'!$D11</f>
        <v>882.952</v>
      </c>
      <c r="E11" s="7">
        <f>'[1]Buffer Summary'!$B11</f>
        <v>6400</v>
      </c>
      <c r="F11" s="13">
        <v>21</v>
      </c>
      <c r="G11" s="14">
        <f t="shared" si="0"/>
        <v>11200</v>
      </c>
      <c r="H11" s="14">
        <f t="shared" si="1"/>
        <v>12082.951999999999</v>
      </c>
      <c r="I11" s="15">
        <f t="shared" si="2"/>
        <v>18482.951999999997</v>
      </c>
      <c r="J11" s="16">
        <f>'Wk -1 Analysis '!N11</f>
        <v>1166</v>
      </c>
      <c r="K11" s="14">
        <f>'[2]On-Order'!$E11+'Wk -1 Analysis '!Q11+'Wk -2 Analysis'!Q11</f>
        <v>19200</v>
      </c>
      <c r="L11" s="14">
        <f>[2]Consume!$F11</f>
        <v>62</v>
      </c>
      <c r="M11" s="14">
        <f t="shared" si="3"/>
        <v>20304</v>
      </c>
      <c r="N11" s="21">
        <f>J11+[2]Arrival!$F11-[2]Consume!$F11</f>
        <v>1104</v>
      </c>
      <c r="O11" s="22">
        <f t="shared" si="4"/>
        <v>1.0985258199014964</v>
      </c>
      <c r="P11" s="14"/>
      <c r="Q11" s="14"/>
      <c r="R11" s="14"/>
      <c r="S11" s="32"/>
    </row>
    <row r="12" spans="1:19">
      <c r="A12" s="3" t="s">
        <v>29</v>
      </c>
      <c r="B12" s="5">
        <v>50000</v>
      </c>
      <c r="C12" s="9">
        <f>'[1]Buffer Summary'!$F12</f>
        <v>87500</v>
      </c>
      <c r="D12" s="8">
        <f>'[1]Buffer Summary'!$D12</f>
        <v>9435.8879999999972</v>
      </c>
      <c r="E12" s="7">
        <f>'[1]Buffer Summary'!$B12</f>
        <v>50000</v>
      </c>
      <c r="F12" s="13">
        <v>21</v>
      </c>
      <c r="G12" s="14">
        <f t="shared" si="0"/>
        <v>87500</v>
      </c>
      <c r="H12" s="14">
        <f t="shared" si="1"/>
        <v>96935.887999999992</v>
      </c>
      <c r="I12" s="15">
        <f t="shared" si="2"/>
        <v>146935.88799999998</v>
      </c>
      <c r="J12" s="16">
        <f>'Wk -1 Analysis '!N12</f>
        <v>13278</v>
      </c>
      <c r="K12" s="14">
        <f>'[2]On-Order'!$E12+'Wk -1 Analysis '!Q12+'Wk -2 Analysis'!Q12</f>
        <v>150000</v>
      </c>
      <c r="L12" s="14">
        <f>[2]Consume!$F12</f>
        <v>1201</v>
      </c>
      <c r="M12" s="14">
        <f t="shared" si="3"/>
        <v>162077</v>
      </c>
      <c r="N12" s="21">
        <f>J12+[2]Arrival!$F12-[2]Consume!$F12</f>
        <v>12077</v>
      </c>
      <c r="O12" s="22">
        <f t="shared" si="4"/>
        <v>1.1030457038514649</v>
      </c>
      <c r="P12" s="14"/>
      <c r="Q12" s="14"/>
      <c r="R12" s="14"/>
      <c r="S12" s="32"/>
    </row>
    <row r="13" spans="1:19">
      <c r="A13" s="3" t="s">
        <v>30</v>
      </c>
      <c r="B13" s="4">
        <v>450</v>
      </c>
      <c r="C13" s="9">
        <f>'[1]Buffer Summary'!$F13</f>
        <v>22731.4986899</v>
      </c>
      <c r="D13" s="8">
        <f>'[1]Buffer Summary'!$D13</f>
        <v>18185.19895192</v>
      </c>
      <c r="E13" s="7">
        <f>'[1]Buffer Summary'!$B13</f>
        <v>12989.427822799998</v>
      </c>
      <c r="F13" s="13">
        <v>21</v>
      </c>
      <c r="G13" s="14">
        <f t="shared" si="0"/>
        <v>22731.4986899</v>
      </c>
      <c r="H13" s="14">
        <f t="shared" si="1"/>
        <v>40916.697641819999</v>
      </c>
      <c r="I13" s="15">
        <f t="shared" si="2"/>
        <v>53906.125464619996</v>
      </c>
      <c r="J13" s="16">
        <f>'Wk -1 Analysis '!N13</f>
        <v>6989.2000000000007</v>
      </c>
      <c r="K13" s="14">
        <f>'[2]On-Order'!$E13+'Wk -1 Analysis '!Q13+'Wk -2 Analysis'!Q13</f>
        <v>19800</v>
      </c>
      <c r="L13" s="14">
        <f>[2]Consume!$F13</f>
        <v>503.1</v>
      </c>
      <c r="M13" s="14">
        <f t="shared" si="3"/>
        <v>26286.100000000002</v>
      </c>
      <c r="N13" s="21">
        <f>J13+[2]Arrival!$F13-[2]Consume!$F13</f>
        <v>15486.1</v>
      </c>
      <c r="O13" s="22">
        <f t="shared" si="4"/>
        <v>0.48762732942571174</v>
      </c>
      <c r="P13" s="23">
        <f>I13-M13</f>
        <v>27620.025464619994</v>
      </c>
      <c r="Q13" s="23">
        <f>B13*66</f>
        <v>29700</v>
      </c>
      <c r="R13" s="23" t="s">
        <v>47</v>
      </c>
      <c r="S13" s="24">
        <f>P13/Q13</f>
        <v>0.92996718736094253</v>
      </c>
    </row>
    <row r="14" spans="1:19">
      <c r="A14" s="3" t="s">
        <v>31</v>
      </c>
      <c r="B14" s="4">
        <v>750</v>
      </c>
      <c r="C14" s="9">
        <f>'[1]Buffer Summary'!$F14</f>
        <v>4069.1037274999994</v>
      </c>
      <c r="D14" s="8">
        <f>'[1]Buffer Summary'!$D14</f>
        <v>3255.2829820000006</v>
      </c>
      <c r="E14" s="7">
        <f>'[1]Buffer Summary'!$B14</f>
        <v>2325.2021299999997</v>
      </c>
      <c r="F14" s="13">
        <v>21</v>
      </c>
      <c r="G14" s="14">
        <f t="shared" si="0"/>
        <v>4069.1037274999994</v>
      </c>
      <c r="H14" s="14">
        <f t="shared" si="1"/>
        <v>7324.3867095000005</v>
      </c>
      <c r="I14" s="15">
        <f t="shared" si="2"/>
        <v>9649.5888395000002</v>
      </c>
      <c r="J14" s="16">
        <f>'Wk -1 Analysis '!N14</f>
        <v>6505.6</v>
      </c>
      <c r="K14" s="14">
        <f>'[2]On-Order'!$E14+'Wk -1 Analysis '!Q14+'Wk -2 Analysis'!Q14</f>
        <v>4500</v>
      </c>
      <c r="L14" s="14">
        <f>[2]Consume!$F14</f>
        <v>1.1000000000000001</v>
      </c>
      <c r="M14" s="14">
        <f t="shared" si="3"/>
        <v>11004.5</v>
      </c>
      <c r="N14" s="21">
        <f>J14+[2]Arrival!$F14-[2]Consume!$F14</f>
        <v>6504.5</v>
      </c>
      <c r="O14" s="22">
        <f t="shared" si="4"/>
        <v>1.1404112841527252</v>
      </c>
      <c r="P14" s="14"/>
      <c r="Q14" s="14"/>
      <c r="R14" s="14"/>
      <c r="S14" s="14"/>
    </row>
    <row r="15" spans="1:19">
      <c r="A15" s="3" t="s">
        <v>32</v>
      </c>
      <c r="B15" s="4">
        <v>700</v>
      </c>
      <c r="C15" s="9">
        <f>'[1]Buffer Summary'!$F15</f>
        <v>1666.2783549999999</v>
      </c>
      <c r="D15" s="8">
        <f>'[1]Buffer Summary'!$D15</f>
        <v>1307.794124</v>
      </c>
      <c r="E15" s="7">
        <f>'[1]Buffer Summary'!$B15</f>
        <v>952.15905999999995</v>
      </c>
      <c r="F15" s="13">
        <v>21</v>
      </c>
      <c r="G15" s="14">
        <f t="shared" si="0"/>
        <v>1666.2783549999999</v>
      </c>
      <c r="H15" s="14">
        <f t="shared" si="1"/>
        <v>2974.0724789999999</v>
      </c>
      <c r="I15" s="15">
        <f t="shared" si="2"/>
        <v>3926.2315389999999</v>
      </c>
      <c r="J15" s="16">
        <f>'Wk -1 Analysis '!N15</f>
        <v>729.5</v>
      </c>
      <c r="K15" s="14">
        <f>'[2]On-Order'!$E15+'Wk -1 Analysis '!Q15+'Wk -2 Analysis'!Q15</f>
        <v>1500</v>
      </c>
      <c r="L15" s="14">
        <f>[2]Consume!$F15</f>
        <v>0</v>
      </c>
      <c r="M15" s="14">
        <f t="shared" si="3"/>
        <v>2229.5</v>
      </c>
      <c r="N15" s="21">
        <f>J15+[2]Arrival!$F15-[2]Consume!$F15</f>
        <v>2229.5</v>
      </c>
      <c r="O15" s="22">
        <f t="shared" si="4"/>
        <v>0.56784730545153927</v>
      </c>
      <c r="P15" s="23">
        <f>I15-M15</f>
        <v>1696.7315389999999</v>
      </c>
      <c r="Q15" s="23">
        <f>B15*3</f>
        <v>2100</v>
      </c>
      <c r="R15" s="23" t="s">
        <v>47</v>
      </c>
      <c r="S15" s="24">
        <f>P15/Q15</f>
        <v>0.80796739952380947</v>
      </c>
    </row>
    <row r="16" spans="1:19">
      <c r="A16" s="3" t="s">
        <v>33</v>
      </c>
      <c r="B16" s="4">
        <v>750</v>
      </c>
      <c r="C16" s="9">
        <f>'[1]Buffer Summary'!$F16</f>
        <v>2259.6644349999997</v>
      </c>
      <c r="D16" s="8">
        <f>'[1]Buffer Summary'!$D16</f>
        <v>1807.7315480000002</v>
      </c>
      <c r="E16" s="7">
        <f>'[1]Buffer Summary'!$B16</f>
        <v>1291.2368199999999</v>
      </c>
      <c r="F16" s="13">
        <v>21</v>
      </c>
      <c r="G16" s="14">
        <f t="shared" si="0"/>
        <v>2259.6644349999997</v>
      </c>
      <c r="H16" s="14">
        <f t="shared" si="1"/>
        <v>4067.3959829999999</v>
      </c>
      <c r="I16" s="15">
        <f t="shared" si="2"/>
        <v>5358.6328029999995</v>
      </c>
      <c r="J16" s="16">
        <f>'Wk -1 Analysis '!N16</f>
        <v>6754.9</v>
      </c>
      <c r="K16" s="14">
        <f>'[2]On-Order'!$E16+'Wk -1 Analysis '!Q16+'Wk -2 Analysis'!Q16</f>
        <v>4500</v>
      </c>
      <c r="L16" s="14">
        <f>[2]Consume!$F16</f>
        <v>153</v>
      </c>
      <c r="M16" s="14">
        <f t="shared" si="3"/>
        <v>11101.9</v>
      </c>
      <c r="N16" s="21">
        <f>J16+[2]Arrival!$F16-[2]Consume!$F16</f>
        <v>6601.9</v>
      </c>
      <c r="O16" s="22">
        <f t="shared" si="4"/>
        <v>2.0717784569572792</v>
      </c>
      <c r="P16" s="14"/>
      <c r="Q16" s="14"/>
      <c r="R16" s="14"/>
      <c r="S16" s="14"/>
    </row>
    <row r="17" spans="1:19">
      <c r="A17" s="3" t="s">
        <v>34</v>
      </c>
      <c r="B17" s="5">
        <v>2475</v>
      </c>
      <c r="C17" s="9">
        <f>'[1]Buffer Summary'!$F17</f>
        <v>29302.883610000001</v>
      </c>
      <c r="D17" s="8">
        <f>'[1]Buffer Summary'!$D17</f>
        <v>23442.306887999999</v>
      </c>
      <c r="E17" s="7">
        <f>'[1]Buffer Summary'!$B17</f>
        <v>16744.504919999999</v>
      </c>
      <c r="F17" s="13">
        <v>21</v>
      </c>
      <c r="G17" s="14">
        <f t="shared" si="0"/>
        <v>29302.883610000001</v>
      </c>
      <c r="H17" s="14">
        <f t="shared" si="1"/>
        <v>52745.190497999996</v>
      </c>
      <c r="I17" s="15">
        <f t="shared" si="2"/>
        <v>69489.695417999988</v>
      </c>
      <c r="J17" s="16">
        <f>'Wk -1 Analysis '!N17</f>
        <v>32054.399999999998</v>
      </c>
      <c r="K17" s="14">
        <f>'[2]On-Order'!$E17+'Wk -1 Analysis '!Q17+'Wk -2 Analysis'!Q17</f>
        <v>15675</v>
      </c>
      <c r="L17" s="14">
        <f>[2]Consume!$F17</f>
        <v>1206.7</v>
      </c>
      <c r="M17" s="14">
        <f t="shared" si="3"/>
        <v>46522.7</v>
      </c>
      <c r="N17" s="21">
        <f>J17+[2]Arrival!$F17-[2]Consume!$F17</f>
        <v>30847.699999999997</v>
      </c>
      <c r="O17" s="22">
        <f t="shared" si="4"/>
        <v>0.66949063051943059</v>
      </c>
      <c r="P17" s="14"/>
      <c r="Q17" s="14"/>
      <c r="R17" s="14"/>
      <c r="S17" s="14"/>
    </row>
    <row r="18" spans="1:19">
      <c r="A18" s="3" t="s">
        <v>35</v>
      </c>
      <c r="B18" s="5">
        <v>1000</v>
      </c>
      <c r="C18" s="9">
        <f>'[1]Buffer Summary'!$F18</f>
        <v>4449.3902600000001</v>
      </c>
      <c r="D18" s="8">
        <f>'[1]Buffer Summary'!$D18</f>
        <v>3559.5122080000001</v>
      </c>
      <c r="E18" s="7">
        <f>'[1]Buffer Summary'!$B18</f>
        <v>2542.5087199999994</v>
      </c>
      <c r="F18" s="13">
        <v>21</v>
      </c>
      <c r="G18" s="14">
        <f t="shared" si="0"/>
        <v>4449.3902600000001</v>
      </c>
      <c r="H18" s="14">
        <f t="shared" si="1"/>
        <v>8008.9024680000002</v>
      </c>
      <c r="I18" s="15">
        <f t="shared" si="2"/>
        <v>10551.411188</v>
      </c>
      <c r="J18" s="16">
        <f>'Wk -1 Analysis '!N18</f>
        <v>2979.6</v>
      </c>
      <c r="K18" s="14">
        <f>'[2]On-Order'!$E18+'Wk -1 Analysis '!Q18+'Wk -2 Analysis'!Q18</f>
        <v>14000</v>
      </c>
      <c r="L18" s="14">
        <f>[2]Consume!$F18</f>
        <v>112.4</v>
      </c>
      <c r="M18" s="14">
        <f t="shared" si="3"/>
        <v>16867.199999999997</v>
      </c>
      <c r="N18" s="21">
        <f>J18+[2]Arrival!$F18-[2]Consume!$F18</f>
        <v>5867.2000000000007</v>
      </c>
      <c r="O18" s="22">
        <f t="shared" si="4"/>
        <v>1.5985729017160162</v>
      </c>
      <c r="P18" s="14"/>
      <c r="Q18" s="14"/>
      <c r="R18" s="14"/>
      <c r="S18" s="14"/>
    </row>
    <row r="19" spans="1:19">
      <c r="A19" s="3" t="s">
        <v>36</v>
      </c>
      <c r="B19" s="4">
        <v>20</v>
      </c>
      <c r="C19" s="9">
        <f>'[1]Buffer Summary'!$F19</f>
        <v>35.079274999999996</v>
      </c>
      <c r="D19" s="8">
        <f>'[1]Buffer Summary'!$D19</f>
        <v>37.999866666666662</v>
      </c>
      <c r="E19" s="7">
        <f>'[1]Buffer Summary'!$B19</f>
        <v>20.045300000000001</v>
      </c>
      <c r="F19" s="13">
        <v>44</v>
      </c>
      <c r="G19" s="14">
        <f t="shared" si="0"/>
        <v>35.079274999999996</v>
      </c>
      <c r="H19" s="14">
        <f t="shared" si="1"/>
        <v>73.079141666666658</v>
      </c>
      <c r="I19" s="15">
        <f t="shared" si="2"/>
        <v>93.124441666666655</v>
      </c>
      <c r="J19" s="16">
        <f>'Wk -1 Analysis '!N19</f>
        <v>29.9</v>
      </c>
      <c r="K19" s="14">
        <f>'[2]On-Order'!$E19+'Wk -1 Analysis '!Q19+'Wk -2 Analysis'!Q19</f>
        <v>200</v>
      </c>
      <c r="L19" s="14">
        <f>[2]Consume!$F19</f>
        <v>0.5</v>
      </c>
      <c r="M19" s="14">
        <f t="shared" si="3"/>
        <v>229.4</v>
      </c>
      <c r="N19" s="21">
        <f>J19+[2]Arrival!$F19-[2]Consume!$F19</f>
        <v>29.4</v>
      </c>
      <c r="O19" s="22">
        <f t="shared" si="4"/>
        <v>2.4633704738990385</v>
      </c>
      <c r="P19" s="14"/>
      <c r="Q19" s="14"/>
      <c r="R19" s="14"/>
      <c r="S19" s="32"/>
    </row>
    <row r="20" spans="1:19">
      <c r="A20" s="3" t="s">
        <v>37</v>
      </c>
      <c r="B20" s="4">
        <v>15</v>
      </c>
      <c r="C20" s="9">
        <f>'[1]Buffer Summary'!$F20</f>
        <v>51.674885500000002</v>
      </c>
      <c r="D20" s="8">
        <f>'[1]Buffer Summary'!$D20</f>
        <v>41.339908400000006</v>
      </c>
      <c r="E20" s="7">
        <f>'[1]Buffer Summary'!$B20</f>
        <v>29.528506000000004</v>
      </c>
      <c r="F20" s="13">
        <v>21</v>
      </c>
      <c r="G20" s="14">
        <f t="shared" si="0"/>
        <v>51.674885500000002</v>
      </c>
      <c r="H20" s="14">
        <f t="shared" si="1"/>
        <v>93.014793900000001</v>
      </c>
      <c r="I20" s="15">
        <f t="shared" si="2"/>
        <v>122.54329990000001</v>
      </c>
      <c r="J20" s="16">
        <f>'Wk -1 Analysis '!N20</f>
        <v>41.500000000000007</v>
      </c>
      <c r="K20" s="14">
        <f>'[2]On-Order'!$E20+'Wk -1 Analysis '!Q20+'Wk -2 Analysis'!Q20</f>
        <v>290</v>
      </c>
      <c r="L20" s="14">
        <f>[2]Consume!$F20</f>
        <v>3.6</v>
      </c>
      <c r="M20" s="14">
        <f t="shared" si="3"/>
        <v>327.9</v>
      </c>
      <c r="N20" s="21">
        <f>J20+[2]Arrival!$F20-[2]Consume!$F20</f>
        <v>37.900000000000006</v>
      </c>
      <c r="O20" s="22">
        <f t="shared" si="4"/>
        <v>2.6757888866023589</v>
      </c>
      <c r="P20" s="14"/>
      <c r="Q20" s="14"/>
      <c r="R20" s="14"/>
      <c r="S20" s="32"/>
    </row>
    <row r="21" spans="1:19">
      <c r="A21" s="3" t="s">
        <v>38</v>
      </c>
      <c r="B21" s="4">
        <v>20</v>
      </c>
      <c r="C21" s="9">
        <f>'[1]Buffer Summary'!$F21</f>
        <v>78.086971199999979</v>
      </c>
      <c r="D21" s="8">
        <f>'[1]Buffer Summary'!$D21</f>
        <v>130.88863743999997</v>
      </c>
      <c r="E21" s="7">
        <f>'[1]Buffer Summary'!$B21</f>
        <v>44.621126399999994</v>
      </c>
      <c r="F21" s="13">
        <v>44</v>
      </c>
      <c r="G21" s="14">
        <f t="shared" si="0"/>
        <v>78.086971199999979</v>
      </c>
      <c r="H21" s="14">
        <f t="shared" si="1"/>
        <v>208.97560863999996</v>
      </c>
      <c r="I21" s="15">
        <f t="shared" si="2"/>
        <v>253.59673503999994</v>
      </c>
      <c r="J21" s="16">
        <f>'Wk -1 Analysis '!N21</f>
        <v>180</v>
      </c>
      <c r="K21" s="14">
        <f>'[2]On-Order'!$E21+'Wk -1 Analysis '!Q21+'Wk -2 Analysis'!Q21</f>
        <v>100</v>
      </c>
      <c r="L21" s="14">
        <f>[2]Consume!$F21</f>
        <v>4.2</v>
      </c>
      <c r="M21" s="14">
        <f t="shared" si="3"/>
        <v>275.8</v>
      </c>
      <c r="N21" s="21">
        <f>J21+[2]Arrival!$F21-[2]Consume!$F21</f>
        <v>175.8</v>
      </c>
      <c r="O21" s="22">
        <f t="shared" si="4"/>
        <v>1.0875534338267325</v>
      </c>
      <c r="P21" s="14"/>
      <c r="Q21" s="14"/>
      <c r="R21" s="14"/>
      <c r="S21" s="14"/>
    </row>
    <row r="22" spans="1:19">
      <c r="A22" s="3" t="s">
        <v>39</v>
      </c>
      <c r="B22" s="5">
        <v>1000</v>
      </c>
      <c r="C22" s="9">
        <f>'[1]Buffer Summary'!$F22</f>
        <v>2019.8313333333331</v>
      </c>
      <c r="D22" s="8">
        <f>'[1]Buffer Summary'!$D22</f>
        <v>2912.6439999999998</v>
      </c>
      <c r="E22" s="7">
        <f>'[1]Buffer Summary'!$B22</f>
        <v>1154.1893333333333</v>
      </c>
      <c r="F22" s="13">
        <v>21</v>
      </c>
      <c r="G22" s="14">
        <f t="shared" si="0"/>
        <v>2019.8313333333331</v>
      </c>
      <c r="H22" s="14">
        <f t="shared" si="1"/>
        <v>4932.4753333333329</v>
      </c>
      <c r="I22" s="15">
        <f t="shared" si="2"/>
        <v>6086.6646666666657</v>
      </c>
      <c r="J22" s="16">
        <f>'Wk -1 Analysis '!N22</f>
        <v>3437</v>
      </c>
      <c r="K22" s="14">
        <f>'[2]On-Order'!$E22+'Wk -1 Analysis '!Q22+'Wk -2 Analysis'!Q22</f>
        <v>2000</v>
      </c>
      <c r="L22" s="14">
        <f>[2]Consume!$F22</f>
        <v>0</v>
      </c>
      <c r="M22" s="14">
        <f t="shared" si="3"/>
        <v>5437</v>
      </c>
      <c r="N22" s="21">
        <f>J22+[2]Arrival!$F22-[2]Consume!$F22</f>
        <v>3437</v>
      </c>
      <c r="O22" s="22">
        <f t="shared" si="4"/>
        <v>0.89326425846580249</v>
      </c>
      <c r="P22" s="14"/>
      <c r="Q22" s="14"/>
      <c r="R22" s="14"/>
      <c r="S22" s="14"/>
    </row>
    <row r="23" spans="1:19">
      <c r="A23" s="3" t="s">
        <v>40</v>
      </c>
      <c r="B23" s="4">
        <v>990</v>
      </c>
      <c r="C23" s="9">
        <f>'[1]Buffer Summary'!$F23</f>
        <v>60066.551999999989</v>
      </c>
      <c r="D23" s="8">
        <f>'[1]Buffer Summary'!$D23</f>
        <v>13348.122666666666</v>
      </c>
      <c r="E23" s="7">
        <f>'[1]Buffer Summary'!$B23</f>
        <v>40044.367999999995</v>
      </c>
      <c r="F23" s="13">
        <v>14</v>
      </c>
      <c r="G23" s="14">
        <f t="shared" si="0"/>
        <v>60066.551999999989</v>
      </c>
      <c r="H23" s="14">
        <f t="shared" si="1"/>
        <v>73414.674666666659</v>
      </c>
      <c r="I23" s="15">
        <f t="shared" si="2"/>
        <v>113459.04266666665</v>
      </c>
      <c r="J23" s="16">
        <f>'Wk -1 Analysis '!N23</f>
        <v>14268</v>
      </c>
      <c r="K23" s="14">
        <f>'[2]On-Order'!$E23+'Wk -1 Analysis '!Q23+'Wk -2 Analysis'!Q23</f>
        <v>106920</v>
      </c>
      <c r="L23" s="14">
        <f>[2]Consume!$F23</f>
        <v>381</v>
      </c>
      <c r="M23" s="14">
        <f t="shared" si="3"/>
        <v>120807</v>
      </c>
      <c r="N23" s="21">
        <f>J23+[2]Arrival!$F23-[2]Consume!$F23</f>
        <v>13887</v>
      </c>
      <c r="O23" s="22">
        <f t="shared" si="4"/>
        <v>1.064763082436021</v>
      </c>
      <c r="P23" s="14"/>
      <c r="Q23" s="14"/>
      <c r="R23" s="14"/>
      <c r="S23" s="32"/>
    </row>
    <row r="24" spans="1:19">
      <c r="A24" s="3" t="s">
        <v>41</v>
      </c>
      <c r="B24" s="4">
        <v>990</v>
      </c>
      <c r="C24" s="9">
        <f>'[1]Buffer Summary'!$F24</f>
        <v>107959.068</v>
      </c>
      <c r="D24" s="8">
        <f>'[1]Buffer Summary'!$D24</f>
        <v>23990.904000000002</v>
      </c>
      <c r="E24" s="7">
        <f>'[1]Buffer Summary'!$B24</f>
        <v>71972.712</v>
      </c>
      <c r="F24" s="13">
        <v>14</v>
      </c>
      <c r="G24" s="14">
        <f t="shared" si="0"/>
        <v>107959.068</v>
      </c>
      <c r="H24" s="14">
        <f t="shared" si="1"/>
        <v>131949.97200000001</v>
      </c>
      <c r="I24" s="15">
        <f t="shared" si="2"/>
        <v>203922.68400000001</v>
      </c>
      <c r="J24" s="16">
        <f>'Wk -1 Analysis '!N24</f>
        <v>27970</v>
      </c>
      <c r="K24" s="14">
        <f>'[2]On-Order'!$E24+'Wk -1 Analysis '!Q24+'Wk -2 Analysis'!Q24</f>
        <v>204870</v>
      </c>
      <c r="L24" s="14">
        <f>[2]Consume!$F24</f>
        <v>1190</v>
      </c>
      <c r="M24" s="14">
        <f t="shared" si="3"/>
        <v>231650</v>
      </c>
      <c r="N24" s="21">
        <f>J24+[2]Arrival!$F24-[2]Consume!$F24</f>
        <v>27710</v>
      </c>
      <c r="O24" s="22">
        <f t="shared" si="4"/>
        <v>1.1359697482208502</v>
      </c>
      <c r="P24" s="14"/>
      <c r="Q24" s="14"/>
      <c r="R24" s="14"/>
      <c r="S24" s="32"/>
    </row>
    <row r="25" spans="1:19">
      <c r="A25" s="3" t="s">
        <v>42</v>
      </c>
      <c r="B25" s="4">
        <v>202</v>
      </c>
      <c r="C25" s="9">
        <f>'[1]Buffer Summary'!$F25</f>
        <v>1135.0720919999999</v>
      </c>
      <c r="D25" s="8">
        <f>'[1]Buffer Summary'!$D25</f>
        <v>252.23824266666665</v>
      </c>
      <c r="E25" s="7">
        <f>'[1]Buffer Summary'!$B25</f>
        <v>756.71472799999992</v>
      </c>
      <c r="F25" s="13">
        <v>14</v>
      </c>
      <c r="G25" s="14">
        <f t="shared" si="0"/>
        <v>1135.0720919999999</v>
      </c>
      <c r="H25" s="14">
        <f t="shared" si="1"/>
        <v>1387.3103346666664</v>
      </c>
      <c r="I25" s="15">
        <f t="shared" si="2"/>
        <v>2144.0250626666666</v>
      </c>
      <c r="J25" s="16">
        <f>'Wk -1 Analysis '!N25</f>
        <v>765.30000000000007</v>
      </c>
      <c r="K25" s="14">
        <f>'[2]On-Order'!$E25+'Wk -1 Analysis '!Q25+'Wk -2 Analysis'!Q25</f>
        <v>1414</v>
      </c>
      <c r="L25" s="14">
        <f>[2]Consume!$F25</f>
        <v>11.9</v>
      </c>
      <c r="M25" s="14">
        <f t="shared" si="3"/>
        <v>2167.4</v>
      </c>
      <c r="N25" s="21">
        <f>J25+[2]Arrival!$F25-[2]Consume!$F25</f>
        <v>753.40000000000009</v>
      </c>
      <c r="O25" s="22">
        <f t="shared" si="4"/>
        <v>1.0109023619827748</v>
      </c>
      <c r="P25" s="14"/>
      <c r="Q25" s="14"/>
      <c r="R25" s="14"/>
      <c r="S25" s="32"/>
    </row>
    <row r="26" spans="1:19">
      <c r="A26" s="3" t="s">
        <v>43</v>
      </c>
      <c r="B26" s="5">
        <v>1300</v>
      </c>
      <c r="C26" s="9">
        <f>'[1]Buffer Summary'!$F26</f>
        <v>16720.871999999996</v>
      </c>
      <c r="D26" s="8">
        <f>'[1]Buffer Summary'!$D26</f>
        <v>5573.6239999999998</v>
      </c>
      <c r="E26" s="7">
        <f>'[1]Buffer Summary'!$B26</f>
        <v>11147.248</v>
      </c>
      <c r="F26" s="13">
        <v>14</v>
      </c>
      <c r="G26" s="14">
        <f t="shared" si="0"/>
        <v>16720.871999999996</v>
      </c>
      <c r="H26" s="14">
        <f t="shared" si="1"/>
        <v>22294.495999999996</v>
      </c>
      <c r="I26" s="15">
        <f t="shared" si="2"/>
        <v>33441.743999999992</v>
      </c>
      <c r="J26" s="16">
        <f>'Wk -1 Analysis '!N26</f>
        <v>20194</v>
      </c>
      <c r="K26" s="14">
        <f>'[2]On-Order'!$E26+'Wk -1 Analysis '!Q26+'Wk -2 Analysis'!Q26</f>
        <v>0</v>
      </c>
      <c r="L26" s="14">
        <f>[2]Consume!$F26</f>
        <v>121</v>
      </c>
      <c r="M26" s="14">
        <f t="shared" si="3"/>
        <v>20073</v>
      </c>
      <c r="N26" s="21">
        <f>J26+[2]Arrival!$F26-[2]Consume!$F26</f>
        <v>20073</v>
      </c>
      <c r="O26" s="22">
        <f t="shared" si="4"/>
        <v>0.60023783448614421</v>
      </c>
      <c r="P26" s="23">
        <f>I26-M26</f>
        <v>13368.743999999992</v>
      </c>
      <c r="Q26" s="23">
        <f>B26*16</f>
        <v>20800</v>
      </c>
      <c r="R26" s="23" t="s">
        <v>47</v>
      </c>
      <c r="S26" s="24">
        <f>P26/Q26</f>
        <v>0.64272807692307654</v>
      </c>
    </row>
    <row r="27" spans="1:19">
      <c r="A27" s="3" t="s">
        <v>44</v>
      </c>
      <c r="B27" s="5">
        <v>102000</v>
      </c>
      <c r="C27" s="9">
        <f>'[1]Buffer Summary'!$F27</f>
        <v>155361.12</v>
      </c>
      <c r="D27" s="8">
        <f>'[1]Buffer Summary'!$D27</f>
        <v>23897.421333333332</v>
      </c>
      <c r="E27" s="7">
        <f>'[1]Buffer Summary'!$B27</f>
        <v>103574.07999999999</v>
      </c>
      <c r="F27" s="13">
        <v>14</v>
      </c>
      <c r="G27" s="14">
        <f t="shared" si="0"/>
        <v>155361.12</v>
      </c>
      <c r="H27" s="14">
        <f t="shared" si="1"/>
        <v>179258.54133333333</v>
      </c>
      <c r="I27" s="15">
        <f t="shared" si="2"/>
        <v>282832.62133333331</v>
      </c>
      <c r="J27" s="16">
        <f>'Wk -1 Analysis '!N27</f>
        <v>90604</v>
      </c>
      <c r="K27" s="14">
        <f>'[2]On-Order'!$E27+'Wk -1 Analysis '!Q27+'Wk -2 Analysis'!Q27</f>
        <v>204000</v>
      </c>
      <c r="L27" s="14">
        <f>[2]Consume!$F27</f>
        <v>1003</v>
      </c>
      <c r="M27" s="14">
        <f t="shared" si="3"/>
        <v>293601</v>
      </c>
      <c r="N27" s="21">
        <f>J27+[2]Arrival!$F27-[2]Consume!$F27</f>
        <v>89601</v>
      </c>
      <c r="O27" s="22">
        <f t="shared" si="4"/>
        <v>1.0380733262517678</v>
      </c>
      <c r="P27" s="14"/>
      <c r="Q27" s="14"/>
      <c r="R27" s="14"/>
      <c r="S27" s="32"/>
    </row>
    <row r="28" spans="1:19">
      <c r="A28" s="3" t="s">
        <v>45</v>
      </c>
      <c r="B28" s="5">
        <v>102000</v>
      </c>
      <c r="C28" s="9">
        <f>'[1]Buffer Summary'!$F28</f>
        <v>155281.37599999999</v>
      </c>
      <c r="D28" s="8">
        <f>'[1]Buffer Summary'!$D28</f>
        <v>24017.541333333334</v>
      </c>
      <c r="E28" s="7">
        <f>'[1]Buffer Summary'!$B28</f>
        <v>103520.91733333333</v>
      </c>
      <c r="F28" s="13">
        <v>14</v>
      </c>
      <c r="G28" s="14">
        <f t="shared" si="0"/>
        <v>155281.37599999999</v>
      </c>
      <c r="H28" s="14">
        <f t="shared" si="1"/>
        <v>179298.91733333332</v>
      </c>
      <c r="I28" s="15">
        <f t="shared" si="2"/>
        <v>282819.83466666663</v>
      </c>
      <c r="J28" s="16">
        <f>'Wk -1 Analysis '!N28</f>
        <v>96032</v>
      </c>
      <c r="K28" s="14">
        <f>'[2]On-Order'!$E28+'Wk -1 Analysis '!Q28+'Wk -2 Analysis'!Q28</f>
        <v>204000</v>
      </c>
      <c r="L28" s="14">
        <f>[2]Consume!$F28</f>
        <v>1326</v>
      </c>
      <c r="M28" s="14">
        <f t="shared" si="3"/>
        <v>298706</v>
      </c>
      <c r="N28" s="21">
        <f>J28+[2]Arrival!$F28-[2]Consume!$F28</f>
        <v>94706</v>
      </c>
      <c r="O28" s="22">
        <f t="shared" si="4"/>
        <v>1.0561706195467404</v>
      </c>
      <c r="P28" s="14"/>
      <c r="Q28" s="14"/>
      <c r="R28" s="14"/>
      <c r="S28" s="32"/>
    </row>
  </sheetData>
  <conditionalFormatting sqref="O3:O28">
    <cfRule type="top10" dxfId="11" priority="1" bottom="1" rank="5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425B8-1353-4710-BD7A-4F9DA4C05901}">
  <dimension ref="A2:S28"/>
  <sheetViews>
    <sheetView topLeftCell="A20" workbookViewId="0">
      <selection activeCell="P26" sqref="P26:S26"/>
    </sheetView>
  </sheetViews>
  <sheetFormatPr defaultRowHeight="15"/>
  <cols>
    <col min="4" max="4" width="11.140625" bestFit="1" customWidth="1"/>
    <col min="5" max="5" width="10.7109375" bestFit="1" customWidth="1"/>
    <col min="6" max="6" width="9.28515625" customWidth="1"/>
    <col min="10" max="10" width="8.28515625" style="17" customWidth="1"/>
    <col min="11" max="11" width="10" customWidth="1"/>
    <col min="12" max="12" width="10.5703125" customWidth="1"/>
    <col min="16" max="18" width="10.28515625" customWidth="1"/>
    <col min="19" max="19" width="10.7109375" customWidth="1"/>
  </cols>
  <sheetData>
    <row r="2" spans="1:19" ht="33">
      <c r="A2" s="1" t="s">
        <v>0</v>
      </c>
      <c r="B2" s="6" t="s">
        <v>1</v>
      </c>
      <c r="C2" s="11" t="s">
        <v>2</v>
      </c>
      <c r="D2" s="10" t="s">
        <v>3</v>
      </c>
      <c r="E2" s="12" t="s">
        <v>4</v>
      </c>
      <c r="F2" s="6" t="s">
        <v>5</v>
      </c>
      <c r="G2" s="6" t="s">
        <v>6</v>
      </c>
      <c r="H2" s="6" t="s">
        <v>7</v>
      </c>
      <c r="I2" s="18" t="s">
        <v>8</v>
      </c>
      <c r="J2" s="19" t="s">
        <v>9</v>
      </c>
      <c r="K2" s="6" t="s">
        <v>10</v>
      </c>
      <c r="L2" s="18" t="s">
        <v>11</v>
      </c>
      <c r="M2" s="20" t="s">
        <v>12</v>
      </c>
      <c r="N2" s="20" t="s">
        <v>13</v>
      </c>
      <c r="O2" s="20" t="s">
        <v>14</v>
      </c>
      <c r="P2" s="20" t="s">
        <v>15</v>
      </c>
      <c r="Q2" s="20" t="s">
        <v>16</v>
      </c>
      <c r="R2" s="20" t="s">
        <v>17</v>
      </c>
      <c r="S2" s="20" t="s">
        <v>18</v>
      </c>
    </row>
    <row r="3" spans="1:19">
      <c r="A3" s="2" t="s">
        <v>19</v>
      </c>
      <c r="B3" s="4">
        <v>850</v>
      </c>
      <c r="C3" s="9">
        <f>'[1]Buffer Summary'!$F3</f>
        <v>9705.8630864999996</v>
      </c>
      <c r="D3" s="8">
        <f>'[1]Buffer Summary'!$D3</f>
        <v>7764.6904691999998</v>
      </c>
      <c r="E3" s="7">
        <f>'[1]Buffer Summary'!$B3</f>
        <v>5546.2074779999994</v>
      </c>
      <c r="F3" s="13">
        <v>21</v>
      </c>
      <c r="G3" s="14">
        <f>C3</f>
        <v>9705.8630864999996</v>
      </c>
      <c r="H3" s="14">
        <f>C3+D3</f>
        <v>17470.5535557</v>
      </c>
      <c r="I3" s="15">
        <f>C3+D3+E3</f>
        <v>23016.761033700001</v>
      </c>
      <c r="J3" s="16">
        <f>'Wk 0 Analysis '!N3</f>
        <v>13078.9</v>
      </c>
      <c r="K3" s="14">
        <f>'[2]On-Order'!$F3+'Wk -1 Analysis '!Q3+'Wk -2 Analysis'!Q3+'Wk 0 Analysis '!Q3</f>
        <v>7190</v>
      </c>
      <c r="L3" s="14">
        <f>[2]Consume!$G3</f>
        <v>3628.6</v>
      </c>
      <c r="M3" s="14">
        <f>J3+K3-L3</f>
        <v>16640.300000000003</v>
      </c>
      <c r="N3" s="21">
        <f>J3+'New Arrivals'!G3-[2]Consume!$G3</f>
        <v>9450.2999999999993</v>
      </c>
      <c r="O3" s="22">
        <f>M3/I3</f>
        <v>0.7229644508033124</v>
      </c>
      <c r="P3" s="23">
        <f>I3-M3</f>
        <v>6376.4610336999976</v>
      </c>
      <c r="Q3" s="23">
        <f>B3*8</f>
        <v>6800</v>
      </c>
      <c r="R3" s="23" t="s">
        <v>48</v>
      </c>
      <c r="S3" s="24">
        <f>P3/Q3</f>
        <v>0.93771485789705844</v>
      </c>
    </row>
    <row r="4" spans="1:19">
      <c r="A4" s="2" t="s">
        <v>20</v>
      </c>
      <c r="B4" s="4">
        <v>700</v>
      </c>
      <c r="C4" s="9">
        <f>'[1]Buffer Summary'!$F4</f>
        <v>1225</v>
      </c>
      <c r="D4" s="8">
        <f>'[1]Buffer Summary'!$D4</f>
        <v>511.33672799999994</v>
      </c>
      <c r="E4" s="7">
        <f>'[1]Buffer Summary'!$B4</f>
        <v>700</v>
      </c>
      <c r="F4" s="13">
        <v>21</v>
      </c>
      <c r="G4" s="14">
        <f t="shared" ref="G4:G28" si="0">C4</f>
        <v>1225</v>
      </c>
      <c r="H4" s="14">
        <f t="shared" ref="H4:H28" si="1">C4+D4</f>
        <v>1736.336728</v>
      </c>
      <c r="I4" s="15">
        <f t="shared" ref="I4:I28" si="2">C4+D4+E4</f>
        <v>2436.3367280000002</v>
      </c>
      <c r="J4" s="16">
        <f>'Wk 0 Analysis '!N4</f>
        <v>1135.9999999999998</v>
      </c>
      <c r="K4" s="14">
        <f>'[2]On-Order'!$F4+'Wk -1 Analysis '!Q4+'Wk -2 Analysis'!Q4+'Wk 0 Analysis '!Q4</f>
        <v>1400</v>
      </c>
      <c r="L4" s="14">
        <f>[2]Consume!$G4</f>
        <v>221.6</v>
      </c>
      <c r="M4" s="14">
        <f t="shared" ref="M4:M28" si="3">J4+K4-L4</f>
        <v>2314.4</v>
      </c>
      <c r="N4" s="21">
        <f>J4+'New Arrivals'!G4-[2]Consume!$G4</f>
        <v>914.39999999999975</v>
      </c>
      <c r="O4" s="22">
        <f t="shared" ref="O4:O28" si="4">M4/I4</f>
        <v>0.94995079021769768</v>
      </c>
      <c r="P4" s="14"/>
      <c r="Q4" s="14"/>
      <c r="R4" s="14"/>
      <c r="S4" s="32"/>
    </row>
    <row r="5" spans="1:19">
      <c r="A5" s="2" t="s">
        <v>21</v>
      </c>
      <c r="B5" s="4">
        <v>220</v>
      </c>
      <c r="C5" s="9">
        <f>'[1]Buffer Summary'!$F5</f>
        <v>399.88980499999997</v>
      </c>
      <c r="D5" s="8">
        <f>'[1]Buffer Summary'!$D5</f>
        <v>298.45594799999998</v>
      </c>
      <c r="E5" s="7">
        <f>'[1]Buffer Summary'!$B5</f>
        <v>228.50846000000001</v>
      </c>
      <c r="F5" s="13">
        <v>21</v>
      </c>
      <c r="G5" s="14">
        <f t="shared" si="0"/>
        <v>399.88980499999997</v>
      </c>
      <c r="H5" s="14">
        <f t="shared" si="1"/>
        <v>698.34575299999995</v>
      </c>
      <c r="I5" s="15">
        <f t="shared" si="2"/>
        <v>926.85421299999996</v>
      </c>
      <c r="J5" s="16">
        <f>'Wk 0 Analysis '!N5</f>
        <v>550</v>
      </c>
      <c r="K5" s="14">
        <f>'[2]On-Order'!$F5+'Wk -1 Analysis '!Q5+'Wk -2 Analysis'!Q5+'Wk 0 Analysis '!Q5</f>
        <v>440</v>
      </c>
      <c r="L5" s="14">
        <f>[2]Consume!$G5</f>
        <v>173.2</v>
      </c>
      <c r="M5" s="14">
        <f t="shared" si="3"/>
        <v>816.8</v>
      </c>
      <c r="N5" s="21">
        <f>J5+'New Arrivals'!G5-[2]Consume!$G5</f>
        <v>376.8</v>
      </c>
      <c r="O5" s="22">
        <f t="shared" si="4"/>
        <v>0.88126049225823611</v>
      </c>
      <c r="P5" s="14"/>
      <c r="Q5" s="14"/>
      <c r="R5" s="14"/>
      <c r="S5" s="14"/>
    </row>
    <row r="6" spans="1:19">
      <c r="A6" s="2" t="s">
        <v>22</v>
      </c>
      <c r="B6" s="4">
        <v>916</v>
      </c>
      <c r="C6" s="9">
        <f>'[1]Buffer Summary'!$F6</f>
        <v>5833.8262500000001</v>
      </c>
      <c r="D6" s="8">
        <f>'[1]Buffer Summary'!$D6</f>
        <v>4667.0609999999997</v>
      </c>
      <c r="E6" s="7">
        <f>'[1]Buffer Summary'!$B6</f>
        <v>3333.6149999999993</v>
      </c>
      <c r="F6" s="13">
        <v>21</v>
      </c>
      <c r="G6" s="14">
        <f t="shared" si="0"/>
        <v>5833.8262500000001</v>
      </c>
      <c r="H6" s="14">
        <f t="shared" si="1"/>
        <v>10500.88725</v>
      </c>
      <c r="I6" s="15">
        <f t="shared" si="2"/>
        <v>13834.50225</v>
      </c>
      <c r="J6" s="16">
        <f>'Wk 0 Analysis '!N6</f>
        <v>6949.7</v>
      </c>
      <c r="K6" s="14">
        <f>'[2]On-Order'!$F6+'Wk -1 Analysis '!Q6+'Wk -2 Analysis'!Q6+'Wk 0 Analysis '!Q6</f>
        <v>2776</v>
      </c>
      <c r="L6" s="14">
        <f>[2]Consume!$G6</f>
        <v>1925.6</v>
      </c>
      <c r="M6" s="14">
        <f t="shared" si="3"/>
        <v>7800.1</v>
      </c>
      <c r="N6" s="21">
        <f>J6+'New Arrivals'!G6-[2]Consume!$G6</f>
        <v>5024.1000000000004</v>
      </c>
      <c r="O6" s="22">
        <f t="shared" si="4"/>
        <v>0.56381500823421393</v>
      </c>
      <c r="P6" s="23">
        <f t="shared" ref="P6:P7" si="5">I6-M6</f>
        <v>6034.4022499999992</v>
      </c>
      <c r="Q6" s="23">
        <f>B6*7</f>
        <v>6412</v>
      </c>
      <c r="R6" s="23" t="s">
        <v>48</v>
      </c>
      <c r="S6" s="24">
        <f t="shared" ref="S6:S7" si="6">P6/Q6</f>
        <v>0.94111076887086698</v>
      </c>
    </row>
    <row r="7" spans="1:19">
      <c r="A7" s="2" t="s">
        <v>23</v>
      </c>
      <c r="B7" s="4">
        <v>300</v>
      </c>
      <c r="C7" s="9">
        <f>'[1]Buffer Summary'!$F7</f>
        <v>1105.12941</v>
      </c>
      <c r="D7" s="8">
        <f>'[1]Buffer Summary'!$D7</f>
        <v>884.10352799999998</v>
      </c>
      <c r="E7" s="7">
        <f>'[1]Buffer Summary'!$B7</f>
        <v>631.50251999999989</v>
      </c>
      <c r="F7" s="13">
        <v>21</v>
      </c>
      <c r="G7" s="14">
        <f t="shared" si="0"/>
        <v>1105.12941</v>
      </c>
      <c r="H7" s="14">
        <f t="shared" si="1"/>
        <v>1989.2329380000001</v>
      </c>
      <c r="I7" s="15">
        <f t="shared" si="2"/>
        <v>2620.7354580000001</v>
      </c>
      <c r="J7" s="16">
        <f>'Wk 0 Analysis '!N7</f>
        <v>1738.1</v>
      </c>
      <c r="K7" s="14">
        <f>'[2]On-Order'!$F7+'Wk -1 Analysis '!Q7+'Wk -2 Analysis'!Q7+'Wk 0 Analysis '!Q7</f>
        <v>0</v>
      </c>
      <c r="L7" s="14">
        <f>[2]Consume!$G7</f>
        <v>299.7</v>
      </c>
      <c r="M7" s="14">
        <f t="shared" si="3"/>
        <v>1438.3999999999999</v>
      </c>
      <c r="N7" s="21">
        <f>J7+'New Arrivals'!G7-[2]Consume!$G7</f>
        <v>1438.3999999999999</v>
      </c>
      <c r="O7" s="22">
        <f t="shared" si="4"/>
        <v>0.54885356536432217</v>
      </c>
      <c r="P7" s="23">
        <f t="shared" si="5"/>
        <v>1182.3354580000002</v>
      </c>
      <c r="Q7" s="23">
        <f>B7*4</f>
        <v>1200</v>
      </c>
      <c r="R7" s="23" t="s">
        <v>48</v>
      </c>
      <c r="S7" s="24">
        <f t="shared" si="6"/>
        <v>0.98527954833333353</v>
      </c>
    </row>
    <row r="8" spans="1:19">
      <c r="A8" s="3" t="s">
        <v>24</v>
      </c>
      <c r="B8" s="4">
        <v>700</v>
      </c>
      <c r="C8" s="9">
        <f>'[1]Buffer Summary'!$F8</f>
        <v>14594.65</v>
      </c>
      <c r="D8" s="8">
        <f>'[1]Buffer Summary'!$D8</f>
        <v>25019.4</v>
      </c>
      <c r="E8" s="7">
        <f>'[1]Buffer Summary'!$B8</f>
        <v>8339.7999999999993</v>
      </c>
      <c r="F8" s="13">
        <v>21</v>
      </c>
      <c r="G8" s="14">
        <f t="shared" si="0"/>
        <v>14594.65</v>
      </c>
      <c r="H8" s="14">
        <f t="shared" si="1"/>
        <v>39614.050000000003</v>
      </c>
      <c r="I8" s="15">
        <f t="shared" si="2"/>
        <v>47953.850000000006</v>
      </c>
      <c r="J8" s="16">
        <f>'Wk 0 Analysis '!N8</f>
        <v>14501</v>
      </c>
      <c r="K8" s="14">
        <f>'[2]On-Order'!$F8+'Wk -1 Analysis '!Q8+'Wk -2 Analysis'!Q8+'Wk 0 Analysis '!Q8</f>
        <v>44100</v>
      </c>
      <c r="L8" s="14">
        <f>[2]Consume!$G8</f>
        <v>10500</v>
      </c>
      <c r="M8" s="14">
        <f t="shared" si="3"/>
        <v>48101</v>
      </c>
      <c r="N8" s="21">
        <f>J8+'New Arrivals'!G8-[2]Consume!$G8</f>
        <v>4001</v>
      </c>
      <c r="O8" s="22">
        <f t="shared" si="4"/>
        <v>1.0030685753073005</v>
      </c>
      <c r="P8" s="14"/>
      <c r="Q8" s="14"/>
      <c r="R8" s="14"/>
      <c r="S8" s="32"/>
    </row>
    <row r="9" spans="1:19">
      <c r="A9" s="3" t="s">
        <v>25</v>
      </c>
      <c r="B9" s="4">
        <v>850</v>
      </c>
      <c r="C9" s="9">
        <f>'[1]Buffer Summary'!$F9</f>
        <v>9705.8630864999996</v>
      </c>
      <c r="D9" s="8">
        <f>'[1]Buffer Summary'!$D9</f>
        <v>7764.6904691999998</v>
      </c>
      <c r="E9" s="7">
        <f>'[1]Buffer Summary'!$B9</f>
        <v>5546.2074779999994</v>
      </c>
      <c r="F9" s="13">
        <v>21</v>
      </c>
      <c r="G9" s="14">
        <f t="shared" si="0"/>
        <v>9705.8630864999996</v>
      </c>
      <c r="H9" s="14">
        <f t="shared" si="1"/>
        <v>17470.5535557</v>
      </c>
      <c r="I9" s="15">
        <f t="shared" si="2"/>
        <v>23016.761033700001</v>
      </c>
      <c r="J9" s="16">
        <f>'Wk 0 Analysis '!N9</f>
        <v>13078.9</v>
      </c>
      <c r="K9" s="14">
        <f>'[2]On-Order'!$F9+'Wk -1 Analysis '!Q9+'Wk -2 Analysis'!Q9+'Wk 0 Analysis '!Q9</f>
        <v>7190</v>
      </c>
      <c r="L9" s="14">
        <f>[2]Consume!$G9</f>
        <v>3628.6</v>
      </c>
      <c r="M9" s="14">
        <f t="shared" si="3"/>
        <v>16640.300000000003</v>
      </c>
      <c r="N9" s="21">
        <f>J9+'New Arrivals'!G9-[2]Consume!$G9</f>
        <v>9450.2999999999993</v>
      </c>
      <c r="O9" s="22">
        <f t="shared" si="4"/>
        <v>0.7229644508033124</v>
      </c>
      <c r="P9" s="23">
        <f>I9-M9</f>
        <v>6376.4610336999976</v>
      </c>
      <c r="Q9" s="23">
        <f>B9*8</f>
        <v>6800</v>
      </c>
      <c r="R9" s="23" t="s">
        <v>48</v>
      </c>
      <c r="S9" s="24">
        <f>P9/Q9</f>
        <v>0.93771485789705844</v>
      </c>
    </row>
    <row r="10" spans="1:19">
      <c r="A10" s="3" t="s">
        <v>26</v>
      </c>
      <c r="B10" s="5">
        <v>6272</v>
      </c>
      <c r="C10" s="9">
        <f>'[1]Buffer Summary'!$F10</f>
        <v>10976</v>
      </c>
      <c r="D10" s="8">
        <f>'[1]Buffer Summary'!$D10</f>
        <v>876.23199999999997</v>
      </c>
      <c r="E10" s="7">
        <f>'[1]Buffer Summary'!$B10</f>
        <v>6272</v>
      </c>
      <c r="F10" s="13">
        <v>21</v>
      </c>
      <c r="G10" s="14">
        <f t="shared" si="0"/>
        <v>10976</v>
      </c>
      <c r="H10" s="14">
        <f t="shared" si="1"/>
        <v>11852.232</v>
      </c>
      <c r="I10" s="15">
        <f t="shared" si="2"/>
        <v>18124.232</v>
      </c>
      <c r="J10" s="16">
        <f>'Wk 0 Analysis '!N10</f>
        <v>577</v>
      </c>
      <c r="K10" s="14">
        <f>'[2]On-Order'!$F10+'Wk -1 Analysis '!Q10+'Wk -2 Analysis'!Q10+'Wk 0 Analysis '!Q10</f>
        <v>25088</v>
      </c>
      <c r="L10" s="14">
        <f>[2]Consume!$G10</f>
        <v>457</v>
      </c>
      <c r="M10" s="14">
        <f t="shared" si="3"/>
        <v>25208</v>
      </c>
      <c r="N10" s="21">
        <f>J10+'New Arrivals'!G10-[2]Consume!$G10</f>
        <v>18936</v>
      </c>
      <c r="O10" s="22">
        <f t="shared" si="4"/>
        <v>1.3908451403623614</v>
      </c>
      <c r="P10" s="14"/>
      <c r="Q10" s="14"/>
      <c r="R10" s="14"/>
      <c r="S10" s="32"/>
    </row>
    <row r="11" spans="1:19">
      <c r="A11" s="3" t="s">
        <v>28</v>
      </c>
      <c r="B11" s="5">
        <v>6400</v>
      </c>
      <c r="C11" s="9">
        <f>'[1]Buffer Summary'!$F11</f>
        <v>11200</v>
      </c>
      <c r="D11" s="8">
        <f>'[1]Buffer Summary'!$D11</f>
        <v>882.952</v>
      </c>
      <c r="E11" s="7">
        <f>'[1]Buffer Summary'!$B11</f>
        <v>6400</v>
      </c>
      <c r="F11" s="13">
        <v>21</v>
      </c>
      <c r="G11" s="14">
        <f t="shared" si="0"/>
        <v>11200</v>
      </c>
      <c r="H11" s="14">
        <f t="shared" si="1"/>
        <v>12082.951999999999</v>
      </c>
      <c r="I11" s="15">
        <f t="shared" si="2"/>
        <v>18482.951999999997</v>
      </c>
      <c r="J11" s="16">
        <f>'Wk 0 Analysis '!N11</f>
        <v>1104</v>
      </c>
      <c r="K11" s="14">
        <f>'[2]On-Order'!$F11+'Wk -1 Analysis '!Q11+'Wk -2 Analysis'!Q11+'Wk 0 Analysis '!Q11</f>
        <v>25600</v>
      </c>
      <c r="L11" s="14">
        <f>[2]Consume!$G11</f>
        <v>459</v>
      </c>
      <c r="M11" s="14">
        <f t="shared" si="3"/>
        <v>26245</v>
      </c>
      <c r="N11" s="21">
        <f>J11+'New Arrivals'!G11-[2]Consume!$G11</f>
        <v>19845</v>
      </c>
      <c r="O11" s="22">
        <f t="shared" si="4"/>
        <v>1.4199571583586865</v>
      </c>
      <c r="P11" s="14"/>
      <c r="Q11" s="14"/>
      <c r="R11" s="14"/>
      <c r="S11" s="32"/>
    </row>
    <row r="12" spans="1:19">
      <c r="A12" s="3" t="s">
        <v>29</v>
      </c>
      <c r="B12" s="5">
        <v>50000</v>
      </c>
      <c r="C12" s="9">
        <f>'[1]Buffer Summary'!$F12</f>
        <v>87500</v>
      </c>
      <c r="D12" s="8">
        <f>'[1]Buffer Summary'!$D12</f>
        <v>9435.8879999999972</v>
      </c>
      <c r="E12" s="7">
        <f>'[1]Buffer Summary'!$B12</f>
        <v>50000</v>
      </c>
      <c r="F12" s="13">
        <v>21</v>
      </c>
      <c r="G12" s="14">
        <f t="shared" si="0"/>
        <v>87500</v>
      </c>
      <c r="H12" s="14">
        <f t="shared" si="1"/>
        <v>96935.887999999992</v>
      </c>
      <c r="I12" s="15">
        <f t="shared" si="2"/>
        <v>146935.88799999998</v>
      </c>
      <c r="J12" s="16">
        <f>'Wk 0 Analysis '!N12</f>
        <v>12077</v>
      </c>
      <c r="K12" s="14">
        <f>'[2]On-Order'!$F12+'Wk -1 Analysis '!Q12+'Wk -2 Analysis'!Q12+'Wk 0 Analysis '!Q12</f>
        <v>150000</v>
      </c>
      <c r="L12" s="14">
        <f>[2]Consume!$G12</f>
        <v>2464</v>
      </c>
      <c r="M12" s="14">
        <f t="shared" si="3"/>
        <v>159613</v>
      </c>
      <c r="N12" s="21">
        <f>J12+'New Arrivals'!G12-[2]Consume!$G12</f>
        <v>159613</v>
      </c>
      <c r="O12" s="22">
        <f t="shared" si="4"/>
        <v>1.0862764854288016</v>
      </c>
      <c r="P12" s="14"/>
      <c r="Q12" s="14"/>
      <c r="R12" s="14"/>
      <c r="S12" s="32"/>
    </row>
    <row r="13" spans="1:19">
      <c r="A13" s="3" t="s">
        <v>30</v>
      </c>
      <c r="B13" s="4">
        <v>450</v>
      </c>
      <c r="C13" s="9">
        <f>'[1]Buffer Summary'!$F13</f>
        <v>22731.4986899</v>
      </c>
      <c r="D13" s="8">
        <f>'[1]Buffer Summary'!$D13</f>
        <v>18185.19895192</v>
      </c>
      <c r="E13" s="7">
        <f>'[1]Buffer Summary'!$B13</f>
        <v>12989.427822799998</v>
      </c>
      <c r="F13" s="13">
        <v>21</v>
      </c>
      <c r="G13" s="14">
        <f t="shared" si="0"/>
        <v>22731.4986899</v>
      </c>
      <c r="H13" s="14">
        <f t="shared" si="1"/>
        <v>40916.697641819999</v>
      </c>
      <c r="I13" s="15">
        <f t="shared" si="2"/>
        <v>53906.125464619996</v>
      </c>
      <c r="J13" s="16">
        <f>'Wk 0 Analysis '!N13</f>
        <v>15486.1</v>
      </c>
      <c r="K13" s="14">
        <f>'[2]On-Order'!$F13+'Wk -1 Analysis '!Q13+'Wk -2 Analysis'!Q13+'Wk 0 Analysis '!Q13</f>
        <v>49500</v>
      </c>
      <c r="L13" s="14">
        <f>[2]Consume!$G13</f>
        <v>9417.1</v>
      </c>
      <c r="M13" s="14">
        <f t="shared" si="3"/>
        <v>55569</v>
      </c>
      <c r="N13" s="21">
        <f>J13+'New Arrivals'!G13-[2]Consume!$G13</f>
        <v>6069</v>
      </c>
      <c r="O13" s="22">
        <f t="shared" si="4"/>
        <v>1.030847598877634</v>
      </c>
      <c r="P13" s="14"/>
      <c r="Q13" s="14"/>
      <c r="R13" s="14"/>
      <c r="S13" s="32"/>
    </row>
    <row r="14" spans="1:19">
      <c r="A14" s="3" t="s">
        <v>31</v>
      </c>
      <c r="B14" s="4">
        <v>750</v>
      </c>
      <c r="C14" s="9">
        <f>'[1]Buffer Summary'!$F14</f>
        <v>4069.1037274999994</v>
      </c>
      <c r="D14" s="8">
        <f>'[1]Buffer Summary'!$D14</f>
        <v>3255.2829820000006</v>
      </c>
      <c r="E14" s="7">
        <f>'[1]Buffer Summary'!$B14</f>
        <v>2325.2021299999997</v>
      </c>
      <c r="F14" s="13">
        <v>21</v>
      </c>
      <c r="G14" s="14">
        <f t="shared" si="0"/>
        <v>4069.1037274999994</v>
      </c>
      <c r="H14" s="14">
        <f t="shared" si="1"/>
        <v>7324.3867095000005</v>
      </c>
      <c r="I14" s="15">
        <f t="shared" si="2"/>
        <v>9649.5888395000002</v>
      </c>
      <c r="J14" s="16">
        <f>'Wk 0 Analysis '!N14</f>
        <v>6504.5</v>
      </c>
      <c r="K14" s="14">
        <f>'[2]On-Order'!$F14+'Wk -1 Analysis '!Q14+'Wk -2 Analysis'!Q14+'Wk 0 Analysis '!Q14</f>
        <v>4500</v>
      </c>
      <c r="L14" s="14">
        <f>[2]Consume!$G14</f>
        <v>2163</v>
      </c>
      <c r="M14" s="14">
        <f t="shared" si="3"/>
        <v>8841.5</v>
      </c>
      <c r="N14" s="21">
        <f>J14+'New Arrivals'!G14-[2]Consume!$G14</f>
        <v>4341.5</v>
      </c>
      <c r="O14" s="22">
        <f t="shared" si="4"/>
        <v>0.91625665580774407</v>
      </c>
      <c r="P14" s="14"/>
      <c r="Q14" s="14"/>
      <c r="R14" s="14"/>
      <c r="S14" s="32"/>
    </row>
    <row r="15" spans="1:19">
      <c r="A15" s="3" t="s">
        <v>32</v>
      </c>
      <c r="B15" s="4">
        <v>700</v>
      </c>
      <c r="C15" s="9">
        <f>'[1]Buffer Summary'!$F15</f>
        <v>1666.2783549999999</v>
      </c>
      <c r="D15" s="8">
        <f>'[1]Buffer Summary'!$D15</f>
        <v>1307.794124</v>
      </c>
      <c r="E15" s="7">
        <f>'[1]Buffer Summary'!$B15</f>
        <v>952.15905999999995</v>
      </c>
      <c r="F15" s="13">
        <v>21</v>
      </c>
      <c r="G15" s="14">
        <f t="shared" si="0"/>
        <v>1666.2783549999999</v>
      </c>
      <c r="H15" s="14">
        <f t="shared" si="1"/>
        <v>2974.0724789999999</v>
      </c>
      <c r="I15" s="15">
        <f t="shared" si="2"/>
        <v>3926.2315389999999</v>
      </c>
      <c r="J15" s="16">
        <f>'Wk 0 Analysis '!N15</f>
        <v>2229.5</v>
      </c>
      <c r="K15" s="14">
        <f>'[2]On-Order'!$F15+'Wk -1 Analysis '!Q15+'Wk -2 Analysis'!Q15+'Wk 0 Analysis '!Q15</f>
        <v>2100</v>
      </c>
      <c r="L15" s="14">
        <f>[2]Consume!$G15</f>
        <v>896.1</v>
      </c>
      <c r="M15" s="14">
        <f t="shared" si="3"/>
        <v>3433.4</v>
      </c>
      <c r="N15" s="21">
        <f>J15+'New Arrivals'!G15-[2]Consume!$G15</f>
        <v>1333.4</v>
      </c>
      <c r="O15" s="22">
        <f t="shared" si="4"/>
        <v>0.87447720948074226</v>
      </c>
      <c r="P15" s="14"/>
      <c r="Q15" s="14"/>
      <c r="R15" s="14"/>
      <c r="S15" s="32"/>
    </row>
    <row r="16" spans="1:19">
      <c r="A16" s="3" t="s">
        <v>33</v>
      </c>
      <c r="B16" s="4">
        <v>750</v>
      </c>
      <c r="C16" s="9">
        <f>'[1]Buffer Summary'!$F16</f>
        <v>2259.6644349999997</v>
      </c>
      <c r="D16" s="8">
        <f>'[1]Buffer Summary'!$D16</f>
        <v>1807.7315480000002</v>
      </c>
      <c r="E16" s="7">
        <f>'[1]Buffer Summary'!$B16</f>
        <v>1291.2368199999999</v>
      </c>
      <c r="F16" s="13">
        <v>21</v>
      </c>
      <c r="G16" s="14">
        <f t="shared" si="0"/>
        <v>2259.6644349999997</v>
      </c>
      <c r="H16" s="14">
        <f t="shared" si="1"/>
        <v>4067.3959829999999</v>
      </c>
      <c r="I16" s="15">
        <f t="shared" si="2"/>
        <v>5358.6328029999995</v>
      </c>
      <c r="J16" s="16">
        <f>'Wk 0 Analysis '!N16</f>
        <v>6601.9</v>
      </c>
      <c r="K16" s="14">
        <f>'[2]On-Order'!$F16+'Wk -1 Analysis '!Q16+'Wk -2 Analysis'!Q16+'Wk 0 Analysis '!Q16</f>
        <v>4500</v>
      </c>
      <c r="L16" s="14">
        <f>[2]Consume!$G16</f>
        <v>1133.5</v>
      </c>
      <c r="M16" s="14">
        <f t="shared" si="3"/>
        <v>9968.4</v>
      </c>
      <c r="N16" s="21">
        <f>J16+'New Arrivals'!G16-[2]Consume!$G16</f>
        <v>5468.4</v>
      </c>
      <c r="O16" s="22">
        <f t="shared" si="4"/>
        <v>1.8602506210948526</v>
      </c>
      <c r="P16" s="14"/>
      <c r="Q16" s="14"/>
      <c r="R16" s="14"/>
      <c r="S16" s="32"/>
    </row>
    <row r="17" spans="1:19">
      <c r="A17" s="3" t="s">
        <v>34</v>
      </c>
      <c r="B17" s="5">
        <v>2475</v>
      </c>
      <c r="C17" s="9">
        <f>'[1]Buffer Summary'!$F17</f>
        <v>29302.883610000001</v>
      </c>
      <c r="D17" s="8">
        <f>'[1]Buffer Summary'!$D17</f>
        <v>23442.306887999999</v>
      </c>
      <c r="E17" s="7">
        <f>'[1]Buffer Summary'!$B17</f>
        <v>16744.504919999999</v>
      </c>
      <c r="F17" s="13">
        <v>21</v>
      </c>
      <c r="G17" s="14">
        <f t="shared" si="0"/>
        <v>29302.883610000001</v>
      </c>
      <c r="H17" s="14">
        <f t="shared" si="1"/>
        <v>52745.190497999996</v>
      </c>
      <c r="I17" s="15">
        <f t="shared" si="2"/>
        <v>69489.695417999988</v>
      </c>
      <c r="J17" s="16">
        <f>'Wk 0 Analysis '!N17</f>
        <v>30847.699999999997</v>
      </c>
      <c r="K17" s="14">
        <f>'[2]On-Order'!$F17+'Wk -1 Analysis '!Q17+'Wk -2 Analysis'!Q17+'Wk 0 Analysis '!Q17</f>
        <v>31350</v>
      </c>
      <c r="L17" s="14">
        <f>[2]Consume!$G17</f>
        <v>14699.6</v>
      </c>
      <c r="M17" s="14">
        <f t="shared" si="3"/>
        <v>47498.1</v>
      </c>
      <c r="N17" s="21">
        <f>J17+'New Arrivals'!G17-[2]Consume!$G17</f>
        <v>16148.099999999997</v>
      </c>
      <c r="O17" s="22">
        <f t="shared" si="4"/>
        <v>0.683527244065262</v>
      </c>
      <c r="P17" s="23">
        <f>I17-M17</f>
        <v>21991.59541799999</v>
      </c>
      <c r="Q17" s="23">
        <f>B17*14</f>
        <v>34650</v>
      </c>
      <c r="R17" s="23" t="s">
        <v>48</v>
      </c>
      <c r="S17" s="24">
        <f>P17/Q17</f>
        <v>0.6346780784415581</v>
      </c>
    </row>
    <row r="18" spans="1:19">
      <c r="A18" s="3" t="s">
        <v>35</v>
      </c>
      <c r="B18" s="5">
        <v>1000</v>
      </c>
      <c r="C18" s="9">
        <f>'[1]Buffer Summary'!$F18</f>
        <v>4449.3902600000001</v>
      </c>
      <c r="D18" s="8">
        <f>'[1]Buffer Summary'!$D18</f>
        <v>3559.5122080000001</v>
      </c>
      <c r="E18" s="7">
        <f>'[1]Buffer Summary'!$B18</f>
        <v>2542.5087199999994</v>
      </c>
      <c r="F18" s="13">
        <v>21</v>
      </c>
      <c r="G18" s="14">
        <f t="shared" si="0"/>
        <v>4449.3902600000001</v>
      </c>
      <c r="H18" s="14">
        <f t="shared" si="1"/>
        <v>8008.9024680000002</v>
      </c>
      <c r="I18" s="15">
        <f t="shared" si="2"/>
        <v>10551.411188</v>
      </c>
      <c r="J18" s="16">
        <f>'Wk 0 Analysis '!N18</f>
        <v>5867.2000000000007</v>
      </c>
      <c r="K18" s="14">
        <f>'[2]On-Order'!$F18+'Wk -1 Analysis '!Q18+'Wk -2 Analysis'!Q18+'Wk 0 Analysis '!Q18</f>
        <v>11000</v>
      </c>
      <c r="L18" s="14">
        <f>[2]Consume!$G18</f>
        <v>3075.9</v>
      </c>
      <c r="M18" s="14">
        <f t="shared" si="3"/>
        <v>13791.300000000001</v>
      </c>
      <c r="N18" s="21">
        <f>J18+'New Arrivals'!G18-[2]Consume!$G18</f>
        <v>2791.3000000000006</v>
      </c>
      <c r="O18" s="22">
        <f t="shared" si="4"/>
        <v>1.3070573930134284</v>
      </c>
      <c r="P18" s="14"/>
      <c r="Q18" s="14"/>
      <c r="R18" s="14"/>
      <c r="S18" s="14"/>
    </row>
    <row r="19" spans="1:19">
      <c r="A19" s="3" t="s">
        <v>36</v>
      </c>
      <c r="B19" s="4">
        <v>20</v>
      </c>
      <c r="C19" s="9">
        <f>'[1]Buffer Summary'!$F19</f>
        <v>35.079274999999996</v>
      </c>
      <c r="D19" s="8">
        <f>'[1]Buffer Summary'!$D19</f>
        <v>37.999866666666662</v>
      </c>
      <c r="E19" s="7">
        <f>'[1]Buffer Summary'!$B19</f>
        <v>20.045300000000001</v>
      </c>
      <c r="F19" s="13">
        <v>44</v>
      </c>
      <c r="G19" s="14">
        <f t="shared" si="0"/>
        <v>35.079274999999996</v>
      </c>
      <c r="H19" s="14">
        <f t="shared" si="1"/>
        <v>73.079141666666658</v>
      </c>
      <c r="I19" s="15">
        <f t="shared" si="2"/>
        <v>93.124441666666655</v>
      </c>
      <c r="J19" s="16">
        <f>'Wk 0 Analysis '!N19</f>
        <v>29.4</v>
      </c>
      <c r="K19" s="14">
        <f>'[2]On-Order'!$F19+'Wk -1 Analysis '!Q19+'Wk -2 Analysis'!Q19+'Wk 0 Analysis '!Q19</f>
        <v>200</v>
      </c>
      <c r="L19" s="14">
        <f>[2]Consume!$G19</f>
        <v>4.9000000000000004</v>
      </c>
      <c r="M19" s="14">
        <f t="shared" si="3"/>
        <v>224.5</v>
      </c>
      <c r="N19" s="21">
        <f>J19+'New Arrivals'!G19-[2]Consume!$G19</f>
        <v>24.5</v>
      </c>
      <c r="O19" s="22">
        <f t="shared" si="4"/>
        <v>2.4107527087634444</v>
      </c>
      <c r="P19" s="14"/>
      <c r="Q19" s="14"/>
      <c r="R19" s="14"/>
      <c r="S19" s="32"/>
    </row>
    <row r="20" spans="1:19">
      <c r="A20" s="3" t="s">
        <v>37</v>
      </c>
      <c r="B20" s="4">
        <v>15</v>
      </c>
      <c r="C20" s="9">
        <f>'[1]Buffer Summary'!$F20</f>
        <v>51.674885500000002</v>
      </c>
      <c r="D20" s="8">
        <f>'[1]Buffer Summary'!$D20</f>
        <v>41.339908400000006</v>
      </c>
      <c r="E20" s="7">
        <f>'[1]Buffer Summary'!$B20</f>
        <v>29.528506000000004</v>
      </c>
      <c r="F20" s="13">
        <v>21</v>
      </c>
      <c r="G20" s="14">
        <f t="shared" si="0"/>
        <v>51.674885500000002</v>
      </c>
      <c r="H20" s="14">
        <f t="shared" si="1"/>
        <v>93.014793900000001</v>
      </c>
      <c r="I20" s="15">
        <f t="shared" si="2"/>
        <v>122.54329990000001</v>
      </c>
      <c r="J20" s="16">
        <f>'Wk 0 Analysis '!N20</f>
        <v>37.900000000000006</v>
      </c>
      <c r="K20" s="14">
        <f>'[2]On-Order'!$F20+'Wk -1 Analysis '!Q20+'Wk -2 Analysis'!Q20+'Wk 0 Analysis '!Q20</f>
        <v>290</v>
      </c>
      <c r="L20" s="14">
        <f>[2]Consume!$G20</f>
        <v>18.600000000000001</v>
      </c>
      <c r="M20" s="14">
        <f t="shared" si="3"/>
        <v>309.29999999999995</v>
      </c>
      <c r="N20" s="21">
        <f>J20+'New Arrivals'!G20-[2]Consume!$G20</f>
        <v>19.300000000000004</v>
      </c>
      <c r="O20" s="22">
        <f t="shared" si="4"/>
        <v>2.5240058024584004</v>
      </c>
      <c r="P20" s="14"/>
      <c r="Q20" s="14"/>
      <c r="R20" s="14"/>
      <c r="S20" s="32"/>
    </row>
    <row r="21" spans="1:19">
      <c r="A21" s="3" t="s">
        <v>38</v>
      </c>
      <c r="B21" s="4">
        <v>20</v>
      </c>
      <c r="C21" s="9">
        <f>'[1]Buffer Summary'!$F21</f>
        <v>78.086971199999979</v>
      </c>
      <c r="D21" s="8">
        <f>'[1]Buffer Summary'!$D21</f>
        <v>130.88863743999997</v>
      </c>
      <c r="E21" s="7">
        <f>'[1]Buffer Summary'!$B21</f>
        <v>44.621126399999994</v>
      </c>
      <c r="F21" s="13">
        <v>44</v>
      </c>
      <c r="G21" s="14">
        <f t="shared" si="0"/>
        <v>78.086971199999979</v>
      </c>
      <c r="H21" s="14">
        <f t="shared" si="1"/>
        <v>208.97560863999996</v>
      </c>
      <c r="I21" s="15">
        <f t="shared" si="2"/>
        <v>253.59673503999994</v>
      </c>
      <c r="J21" s="16">
        <f>'Wk 0 Analysis '!N21</f>
        <v>175.8</v>
      </c>
      <c r="K21" s="14">
        <f>'[2]On-Order'!$F21+'Wk -1 Analysis '!Q21+'Wk -2 Analysis'!Q21+'Wk 0 Analysis '!Q21</f>
        <v>100</v>
      </c>
      <c r="L21" s="14">
        <f>[2]Consume!$G21</f>
        <v>17.600000000000001</v>
      </c>
      <c r="M21" s="14">
        <f t="shared" si="3"/>
        <v>258.2</v>
      </c>
      <c r="N21" s="21">
        <f>J21+'New Arrivals'!G21-[2]Consume!$G21</f>
        <v>158.20000000000002</v>
      </c>
      <c r="O21" s="22">
        <f t="shared" si="4"/>
        <v>1.0181519094055922</v>
      </c>
      <c r="P21" s="14"/>
      <c r="Q21" s="14"/>
      <c r="R21" s="14"/>
      <c r="S21" s="14"/>
    </row>
    <row r="22" spans="1:19">
      <c r="A22" s="3" t="s">
        <v>39</v>
      </c>
      <c r="B22" s="5">
        <v>1000</v>
      </c>
      <c r="C22" s="9">
        <f>'[1]Buffer Summary'!$F22</f>
        <v>2019.8313333333331</v>
      </c>
      <c r="D22" s="8">
        <f>'[1]Buffer Summary'!$D22</f>
        <v>2912.6439999999998</v>
      </c>
      <c r="E22" s="7">
        <f>'[1]Buffer Summary'!$B22</f>
        <v>1154.1893333333333</v>
      </c>
      <c r="F22" s="13">
        <v>21</v>
      </c>
      <c r="G22" s="14">
        <f t="shared" si="0"/>
        <v>2019.8313333333331</v>
      </c>
      <c r="H22" s="14">
        <f t="shared" si="1"/>
        <v>4932.4753333333329</v>
      </c>
      <c r="I22" s="15">
        <f t="shared" si="2"/>
        <v>6086.6646666666657</v>
      </c>
      <c r="J22" s="16">
        <f>'Wk 0 Analysis '!N22</f>
        <v>3437</v>
      </c>
      <c r="K22" s="14">
        <f>'[2]On-Order'!$F22+'Wk -1 Analysis '!Q22+'Wk -2 Analysis'!Q22+'Wk 0 Analysis '!Q22</f>
        <v>2000</v>
      </c>
      <c r="L22" s="14">
        <f>[2]Consume!$G22</f>
        <v>152</v>
      </c>
      <c r="M22" s="14">
        <f t="shared" si="3"/>
        <v>5285</v>
      </c>
      <c r="N22" s="21">
        <f>J22+'New Arrivals'!G22-[2]Consume!$G22</f>
        <v>3285</v>
      </c>
      <c r="O22" s="22">
        <f t="shared" si="4"/>
        <v>0.86829163251641828</v>
      </c>
      <c r="P22" s="14"/>
      <c r="Q22" s="14"/>
      <c r="R22" s="14"/>
      <c r="S22" s="14"/>
    </row>
    <row r="23" spans="1:19">
      <c r="A23" s="3" t="s">
        <v>40</v>
      </c>
      <c r="B23" s="4">
        <v>990</v>
      </c>
      <c r="C23" s="9">
        <f>'[1]Buffer Summary'!$F23</f>
        <v>60066.551999999989</v>
      </c>
      <c r="D23" s="8">
        <f>'[1]Buffer Summary'!$D23</f>
        <v>13348.122666666666</v>
      </c>
      <c r="E23" s="7">
        <f>'[1]Buffer Summary'!$B23</f>
        <v>40044.367999999995</v>
      </c>
      <c r="F23" s="13">
        <v>14</v>
      </c>
      <c r="G23" s="14">
        <f t="shared" si="0"/>
        <v>60066.551999999989</v>
      </c>
      <c r="H23" s="14">
        <f t="shared" si="1"/>
        <v>73414.674666666659</v>
      </c>
      <c r="I23" s="15">
        <f t="shared" si="2"/>
        <v>113459.04266666665</v>
      </c>
      <c r="J23" s="16">
        <f>'Wk 0 Analysis '!N23</f>
        <v>13887</v>
      </c>
      <c r="K23" s="14">
        <f>'[2]On-Order'!$F23+'Wk -1 Analysis '!Q23+'Wk -2 Analysis'!Q23+'Wk 0 Analysis '!Q23</f>
        <v>132090</v>
      </c>
      <c r="L23" s="14">
        <f>[2]Consume!$G23</f>
        <v>11920</v>
      </c>
      <c r="M23" s="14">
        <f t="shared" si="3"/>
        <v>134057</v>
      </c>
      <c r="N23" s="21">
        <f>J23+'New Arrivals'!G23-[2]Consume!$G23</f>
        <v>108887</v>
      </c>
      <c r="O23" s="22">
        <f t="shared" si="4"/>
        <v>1.1815453122925466</v>
      </c>
      <c r="P23" s="14"/>
      <c r="Q23" s="14"/>
      <c r="R23" s="14"/>
      <c r="S23" s="32"/>
    </row>
    <row r="24" spans="1:19">
      <c r="A24" s="3" t="s">
        <v>41</v>
      </c>
      <c r="B24" s="4">
        <v>990</v>
      </c>
      <c r="C24" s="9">
        <f>'[1]Buffer Summary'!$F24</f>
        <v>107959.068</v>
      </c>
      <c r="D24" s="8">
        <f>'[1]Buffer Summary'!$D24</f>
        <v>23990.904000000002</v>
      </c>
      <c r="E24" s="7">
        <f>'[1]Buffer Summary'!$B24</f>
        <v>71972.712</v>
      </c>
      <c r="F24" s="13">
        <v>14</v>
      </c>
      <c r="G24" s="14">
        <f t="shared" si="0"/>
        <v>107959.068</v>
      </c>
      <c r="H24" s="14">
        <f t="shared" si="1"/>
        <v>131949.97200000001</v>
      </c>
      <c r="I24" s="15">
        <f t="shared" si="2"/>
        <v>203922.68400000001</v>
      </c>
      <c r="J24" s="16">
        <f>'Wk 0 Analysis '!N24</f>
        <v>27710</v>
      </c>
      <c r="K24" s="14">
        <f>'[2]On-Order'!$F24+'Wk -1 Analysis '!Q24+'Wk -2 Analysis'!Q24+'Wk 0 Analysis '!Q24</f>
        <v>239850</v>
      </c>
      <c r="L24" s="14">
        <f>[2]Consume!$G24</f>
        <v>22140</v>
      </c>
      <c r="M24" s="14">
        <f t="shared" si="3"/>
        <v>245420</v>
      </c>
      <c r="N24" s="21">
        <f>J24+'New Arrivals'!G24-[2]Consume!$G24</f>
        <v>209510</v>
      </c>
      <c r="O24" s="22">
        <f t="shared" si="4"/>
        <v>1.2034953404202937</v>
      </c>
      <c r="P24" s="14"/>
      <c r="Q24" s="14"/>
      <c r="R24" s="14"/>
      <c r="S24" s="32"/>
    </row>
    <row r="25" spans="1:19">
      <c r="A25" s="3" t="s">
        <v>42</v>
      </c>
      <c r="B25" s="4">
        <v>202</v>
      </c>
      <c r="C25" s="9">
        <f>'[1]Buffer Summary'!$F25</f>
        <v>1135.0720919999999</v>
      </c>
      <c r="D25" s="8">
        <f>'[1]Buffer Summary'!$D25</f>
        <v>252.23824266666665</v>
      </c>
      <c r="E25" s="7">
        <f>'[1]Buffer Summary'!$B25</f>
        <v>756.71472799999992</v>
      </c>
      <c r="F25" s="13">
        <v>14</v>
      </c>
      <c r="G25" s="14">
        <f t="shared" si="0"/>
        <v>1135.0720919999999</v>
      </c>
      <c r="H25" s="14">
        <f t="shared" si="1"/>
        <v>1387.3103346666664</v>
      </c>
      <c r="I25" s="15">
        <f t="shared" si="2"/>
        <v>2144.0250626666666</v>
      </c>
      <c r="J25" s="16">
        <f>'Wk 0 Analysis '!N25</f>
        <v>753.40000000000009</v>
      </c>
      <c r="K25" s="14">
        <f>'[2]On-Order'!$F25+'Wk -1 Analysis '!Q25+'Wk -2 Analysis'!Q25+'Wk 0 Analysis '!Q25</f>
        <v>1414</v>
      </c>
      <c r="L25" s="14">
        <f>[2]Consume!$G25</f>
        <v>223.7</v>
      </c>
      <c r="M25" s="14">
        <f t="shared" si="3"/>
        <v>1943.7</v>
      </c>
      <c r="N25" s="21">
        <f>J25+'New Arrivals'!G25-[2]Consume!$G25</f>
        <v>529.70000000000005</v>
      </c>
      <c r="O25" s="22">
        <f t="shared" si="4"/>
        <v>0.90656589507516816</v>
      </c>
      <c r="P25" s="14"/>
      <c r="Q25" s="14"/>
      <c r="R25" s="14"/>
      <c r="S25" s="32"/>
    </row>
    <row r="26" spans="1:19">
      <c r="A26" s="3" t="s">
        <v>43</v>
      </c>
      <c r="B26" s="5">
        <v>1300</v>
      </c>
      <c r="C26" s="9">
        <f>'[1]Buffer Summary'!$F26</f>
        <v>16720.871999999996</v>
      </c>
      <c r="D26" s="8">
        <f>'[1]Buffer Summary'!$D26</f>
        <v>5573.6239999999998</v>
      </c>
      <c r="E26" s="7">
        <f>'[1]Buffer Summary'!$B26</f>
        <v>11147.248</v>
      </c>
      <c r="F26" s="13">
        <v>14</v>
      </c>
      <c r="G26" s="14">
        <f t="shared" si="0"/>
        <v>16720.871999999996</v>
      </c>
      <c r="H26" s="14">
        <f t="shared" si="1"/>
        <v>22294.495999999996</v>
      </c>
      <c r="I26" s="15">
        <f t="shared" si="2"/>
        <v>33441.743999999992</v>
      </c>
      <c r="J26" s="16">
        <f>'Wk 0 Analysis '!N26</f>
        <v>20073</v>
      </c>
      <c r="K26" s="14">
        <f>'[2]On-Order'!$F26+'Wk -1 Analysis '!Q26+'Wk -2 Analysis'!Q26+'Wk 0 Analysis '!Q26</f>
        <v>20800</v>
      </c>
      <c r="L26" s="14">
        <f>[2]Consume!$G26</f>
        <v>3934</v>
      </c>
      <c r="M26" s="14">
        <f t="shared" si="3"/>
        <v>36939</v>
      </c>
      <c r="N26" s="21">
        <f>J26+'New Arrivals'!G26-[2]Consume!$G26</f>
        <v>16139</v>
      </c>
      <c r="O26" s="22">
        <f t="shared" si="4"/>
        <v>1.104577560309056</v>
      </c>
      <c r="P26" s="14"/>
      <c r="Q26" s="14"/>
      <c r="R26" s="14"/>
      <c r="S26" s="32"/>
    </row>
    <row r="27" spans="1:19">
      <c r="A27" s="3" t="s">
        <v>44</v>
      </c>
      <c r="B27" s="5">
        <v>102000</v>
      </c>
      <c r="C27" s="9">
        <f>'[1]Buffer Summary'!$F27</f>
        <v>155361.12</v>
      </c>
      <c r="D27" s="8">
        <f>'[1]Buffer Summary'!$D27</f>
        <v>23897.421333333332</v>
      </c>
      <c r="E27" s="7">
        <f>'[1]Buffer Summary'!$B27</f>
        <v>103574.07999999999</v>
      </c>
      <c r="F27" s="13">
        <v>14</v>
      </c>
      <c r="G27" s="14">
        <f t="shared" si="0"/>
        <v>155361.12</v>
      </c>
      <c r="H27" s="14">
        <f t="shared" si="1"/>
        <v>179258.54133333333</v>
      </c>
      <c r="I27" s="15">
        <f t="shared" si="2"/>
        <v>282832.62133333331</v>
      </c>
      <c r="J27" s="16">
        <f>'Wk 0 Analysis '!N27</f>
        <v>89601</v>
      </c>
      <c r="K27" s="14">
        <f>'[2]On-Order'!$F27+'Wk -1 Analysis '!Q27+'Wk -2 Analysis'!Q27+'Wk 0 Analysis '!Q27</f>
        <v>204000</v>
      </c>
      <c r="L27" s="14">
        <f>[2]Consume!$G27</f>
        <v>21463</v>
      </c>
      <c r="M27" s="14">
        <f t="shared" si="3"/>
        <v>272138</v>
      </c>
      <c r="N27" s="21">
        <f>J27+'New Arrivals'!G27-[2]Consume!$G27</f>
        <v>68138</v>
      </c>
      <c r="O27" s="22">
        <f t="shared" si="4"/>
        <v>0.96218745460507138</v>
      </c>
      <c r="P27" s="14"/>
      <c r="Q27" s="14"/>
      <c r="R27" s="14"/>
      <c r="S27" s="32"/>
    </row>
    <row r="28" spans="1:19">
      <c r="A28" s="3" t="s">
        <v>45</v>
      </c>
      <c r="B28" s="5">
        <v>102000</v>
      </c>
      <c r="C28" s="9">
        <f>'[1]Buffer Summary'!$F28</f>
        <v>155281.37599999999</v>
      </c>
      <c r="D28" s="8">
        <f>'[1]Buffer Summary'!$D28</f>
        <v>24017.541333333334</v>
      </c>
      <c r="E28" s="7">
        <f>'[1]Buffer Summary'!$B28</f>
        <v>103520.91733333333</v>
      </c>
      <c r="F28" s="13">
        <v>14</v>
      </c>
      <c r="G28" s="14">
        <f t="shared" si="0"/>
        <v>155281.37599999999</v>
      </c>
      <c r="H28" s="14">
        <f t="shared" si="1"/>
        <v>179298.91733333332</v>
      </c>
      <c r="I28" s="15">
        <f t="shared" si="2"/>
        <v>282819.83466666663</v>
      </c>
      <c r="J28" s="16">
        <f>'Wk 0 Analysis '!N28</f>
        <v>94706</v>
      </c>
      <c r="K28" s="14">
        <f>'[2]On-Order'!$F28+'Wk -1 Analysis '!Q28+'Wk -2 Analysis'!Q28+'Wk 0 Analysis '!Q28</f>
        <v>204000</v>
      </c>
      <c r="L28" s="14">
        <f>[2]Consume!$G28</f>
        <v>22777</v>
      </c>
      <c r="M28" s="14">
        <f t="shared" si="3"/>
        <v>275929</v>
      </c>
      <c r="N28" s="21">
        <f>J28+'New Arrivals'!G28-[2]Consume!$G28</f>
        <v>71929</v>
      </c>
      <c r="O28" s="22">
        <f t="shared" si="4"/>
        <v>0.97563524964651716</v>
      </c>
      <c r="P28" s="14"/>
      <c r="Q28" s="14"/>
      <c r="R28" s="14"/>
      <c r="S28" s="32"/>
    </row>
  </sheetData>
  <conditionalFormatting sqref="O3:O28">
    <cfRule type="top10" dxfId="10" priority="3" bottom="1" rank="5"/>
  </conditionalFormatting>
  <conditionalFormatting sqref="N3:N28">
    <cfRule type="cellIs" dxfId="9" priority="1" operator="lessThan">
      <formula>0</formula>
    </cfRule>
    <cfRule type="cellIs" dxfId="8" priority="2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7DD42-8EDD-44AB-A052-C628FF6B9282}">
  <dimension ref="A2:S28"/>
  <sheetViews>
    <sheetView topLeftCell="A11" workbookViewId="0">
      <selection activeCell="Q18" sqref="Q18"/>
    </sheetView>
  </sheetViews>
  <sheetFormatPr defaultRowHeight="15"/>
  <cols>
    <col min="4" max="4" width="11.140625" bestFit="1" customWidth="1"/>
    <col min="5" max="5" width="10.7109375" bestFit="1" customWidth="1"/>
    <col min="6" max="6" width="9.28515625" customWidth="1"/>
    <col min="10" max="10" width="8.28515625" style="17" customWidth="1"/>
    <col min="11" max="11" width="10" customWidth="1"/>
    <col min="12" max="12" width="10.5703125" customWidth="1"/>
    <col min="16" max="18" width="10.28515625" customWidth="1"/>
    <col min="19" max="19" width="10.7109375" customWidth="1"/>
  </cols>
  <sheetData>
    <row r="2" spans="1:19" ht="33">
      <c r="A2" s="1" t="s">
        <v>0</v>
      </c>
      <c r="B2" s="6" t="s">
        <v>1</v>
      </c>
      <c r="C2" s="11" t="s">
        <v>2</v>
      </c>
      <c r="D2" s="10" t="s">
        <v>3</v>
      </c>
      <c r="E2" s="12" t="s">
        <v>4</v>
      </c>
      <c r="F2" s="6" t="s">
        <v>5</v>
      </c>
      <c r="G2" s="6" t="s">
        <v>6</v>
      </c>
      <c r="H2" s="6" t="s">
        <v>7</v>
      </c>
      <c r="I2" s="18" t="s">
        <v>8</v>
      </c>
      <c r="J2" s="19" t="s">
        <v>9</v>
      </c>
      <c r="K2" s="6" t="s">
        <v>10</v>
      </c>
      <c r="L2" s="18" t="s">
        <v>11</v>
      </c>
      <c r="M2" s="20" t="s">
        <v>12</v>
      </c>
      <c r="N2" s="20" t="s">
        <v>13</v>
      </c>
      <c r="O2" s="20" t="s">
        <v>14</v>
      </c>
      <c r="P2" s="20" t="s">
        <v>15</v>
      </c>
      <c r="Q2" s="20" t="s">
        <v>16</v>
      </c>
      <c r="R2" s="20" t="s">
        <v>17</v>
      </c>
      <c r="S2" s="20" t="s">
        <v>18</v>
      </c>
    </row>
    <row r="3" spans="1:19">
      <c r="A3" s="2" t="s">
        <v>19</v>
      </c>
      <c r="B3" s="4">
        <v>850</v>
      </c>
      <c r="C3" s="9">
        <f>'[1]Buffer Summary'!$F3</f>
        <v>9705.8630864999996</v>
      </c>
      <c r="D3" s="8">
        <f>'[1]Buffer Summary'!$D3</f>
        <v>7764.6904691999998</v>
      </c>
      <c r="E3" s="7">
        <f>'[1]Buffer Summary'!$B3</f>
        <v>5546.2074779999994</v>
      </c>
      <c r="F3" s="13">
        <v>21</v>
      </c>
      <c r="G3" s="14">
        <f>C3</f>
        <v>9705.8630864999996</v>
      </c>
      <c r="H3" s="14">
        <f>C3+D3</f>
        <v>17470.5535557</v>
      </c>
      <c r="I3" s="15">
        <f>C3+D3+E3</f>
        <v>23016.761033700001</v>
      </c>
      <c r="J3" s="16">
        <f>'Wk 1 Analysis '!N3</f>
        <v>9450.2999999999993</v>
      </c>
      <c r="K3" s="14">
        <f>'[2]On-Order'!$G3+'Wk -1 Analysis '!Q3+'Wk 0 Analysis '!Q3+'Wk 1 Analysis '!Q3</f>
        <v>10200</v>
      </c>
      <c r="L3" s="14">
        <f>[2]Consume!$H3</f>
        <v>1528.8</v>
      </c>
      <c r="M3" s="14">
        <f>J3+K3-L3</f>
        <v>18121.5</v>
      </c>
      <c r="N3" s="21">
        <f>J3+'New Arrivals'!H3-[2]Consume!$H3</f>
        <v>7921.4999999999991</v>
      </c>
      <c r="O3" s="22">
        <f>M3/I3</f>
        <v>0.78731755408449511</v>
      </c>
      <c r="P3" s="23">
        <f t="shared" ref="P3" si="0">I3-M3</f>
        <v>4895.2610337000006</v>
      </c>
      <c r="Q3" s="23">
        <f>B3*6</f>
        <v>5100</v>
      </c>
      <c r="R3" s="23" t="s">
        <v>49</v>
      </c>
      <c r="S3" s="24">
        <f t="shared" ref="S3" si="1">P3/Q3</f>
        <v>0.95985510464705892</v>
      </c>
    </row>
    <row r="4" spans="1:19">
      <c r="A4" s="2" t="s">
        <v>20</v>
      </c>
      <c r="B4" s="4">
        <v>700</v>
      </c>
      <c r="C4" s="9">
        <f>'[1]Buffer Summary'!$F4</f>
        <v>1225</v>
      </c>
      <c r="D4" s="8">
        <f>'[1]Buffer Summary'!$D4</f>
        <v>511.33672799999994</v>
      </c>
      <c r="E4" s="7">
        <f>'[1]Buffer Summary'!$B4</f>
        <v>700</v>
      </c>
      <c r="F4" s="13">
        <v>21</v>
      </c>
      <c r="G4" s="14">
        <f t="shared" ref="G4:G28" si="2">C4</f>
        <v>1225</v>
      </c>
      <c r="H4" s="14">
        <f t="shared" ref="H4:H28" si="3">C4+D4</f>
        <v>1736.336728</v>
      </c>
      <c r="I4" s="15">
        <f t="shared" ref="I4:I28" si="4">C4+D4+E4</f>
        <v>2436.3367280000002</v>
      </c>
      <c r="J4" s="16">
        <f>'Wk 1 Analysis '!N4</f>
        <v>914.39999999999975</v>
      </c>
      <c r="K4" s="14">
        <f>'[2]On-Order'!$G4+'Wk -1 Analysis '!Q4+'Wk 0 Analysis '!Q4+'Wk 1 Analysis '!Q4</f>
        <v>1920</v>
      </c>
      <c r="L4" s="14">
        <f>[2]Consume!$H4</f>
        <v>62.9</v>
      </c>
      <c r="M4" s="14">
        <f t="shared" ref="M4:M28" si="5">J4+K4-L4</f>
        <v>2771.4999999999995</v>
      </c>
      <c r="N4" s="21">
        <f>J4+'New Arrivals'!H4-[2]Consume!$H4</f>
        <v>851.49999999999977</v>
      </c>
      <c r="O4" s="22">
        <f t="shared" ref="O4:O28" si="6">M4/I4</f>
        <v>1.1375685339994592</v>
      </c>
      <c r="P4" s="14"/>
      <c r="Q4" s="14"/>
      <c r="R4" s="14"/>
      <c r="S4" s="32"/>
    </row>
    <row r="5" spans="1:19">
      <c r="A5" s="2" t="s">
        <v>21</v>
      </c>
      <c r="B5" s="4">
        <v>220</v>
      </c>
      <c r="C5" s="9">
        <f>'[1]Buffer Summary'!$F5</f>
        <v>399.88980499999997</v>
      </c>
      <c r="D5" s="8">
        <f>'[1]Buffer Summary'!$D5</f>
        <v>298.45594799999998</v>
      </c>
      <c r="E5" s="7">
        <f>'[1]Buffer Summary'!$B5</f>
        <v>228.50846000000001</v>
      </c>
      <c r="F5" s="13">
        <v>21</v>
      </c>
      <c r="G5" s="14">
        <f t="shared" si="2"/>
        <v>399.88980499999997</v>
      </c>
      <c r="H5" s="14">
        <f t="shared" si="3"/>
        <v>698.34575299999995</v>
      </c>
      <c r="I5" s="15">
        <f t="shared" si="4"/>
        <v>926.85421299999996</v>
      </c>
      <c r="J5" s="16">
        <f>'Wk 1 Analysis '!N5</f>
        <v>376.8</v>
      </c>
      <c r="K5" s="14">
        <f>'[2]On-Order'!$G5+'Wk -1 Analysis '!Q5+'Wk 0 Analysis '!Q5+'Wk 1 Analysis '!Q5</f>
        <v>440</v>
      </c>
      <c r="L5" s="14">
        <f>[2]Consume!$H5</f>
        <v>47.7</v>
      </c>
      <c r="M5" s="14">
        <f t="shared" si="5"/>
        <v>769.09999999999991</v>
      </c>
      <c r="N5" s="21">
        <f>J5+'New Arrivals'!H5-[2]Consume!$H5</f>
        <v>329.1</v>
      </c>
      <c r="O5" s="22">
        <f t="shared" si="6"/>
        <v>0.82979608789888504</v>
      </c>
      <c r="P5" s="14"/>
      <c r="Q5" s="14"/>
      <c r="R5" s="14"/>
      <c r="S5" s="32"/>
    </row>
    <row r="6" spans="1:19">
      <c r="A6" s="2" t="s">
        <v>22</v>
      </c>
      <c r="B6" s="4">
        <v>916</v>
      </c>
      <c r="C6" s="9">
        <f>'[1]Buffer Summary'!$F6</f>
        <v>5833.8262500000001</v>
      </c>
      <c r="D6" s="8">
        <f>'[1]Buffer Summary'!$D6</f>
        <v>4667.0609999999997</v>
      </c>
      <c r="E6" s="7">
        <f>'[1]Buffer Summary'!$B6</f>
        <v>3333.6149999999993</v>
      </c>
      <c r="F6" s="13">
        <v>21</v>
      </c>
      <c r="G6" s="14">
        <f t="shared" si="2"/>
        <v>5833.8262500000001</v>
      </c>
      <c r="H6" s="14">
        <f t="shared" si="3"/>
        <v>10500.88725</v>
      </c>
      <c r="I6" s="15">
        <f t="shared" si="4"/>
        <v>13834.50225</v>
      </c>
      <c r="J6" s="16">
        <f>'Wk 1 Analysis '!N6</f>
        <v>5024.1000000000004</v>
      </c>
      <c r="K6" s="14">
        <f>'[2]On-Order'!$G6+'Wk -1 Analysis '!Q6+'Wk 0 Analysis '!Q6+'Wk 1 Analysis '!Q6</f>
        <v>6412</v>
      </c>
      <c r="L6" s="14">
        <f>[2]Consume!$H6</f>
        <v>1133</v>
      </c>
      <c r="M6" s="14">
        <f t="shared" si="5"/>
        <v>10303.1</v>
      </c>
      <c r="N6" s="21">
        <f>J6+'New Arrivals'!H6-[2]Consume!$H6</f>
        <v>3891.1000000000004</v>
      </c>
      <c r="O6" s="22">
        <f t="shared" si="6"/>
        <v>0.74473947915256589</v>
      </c>
      <c r="P6" s="23">
        <f t="shared" ref="P6" si="7">I6-M6</f>
        <v>3531.4022499999992</v>
      </c>
      <c r="Q6" s="23">
        <f>B6*4</f>
        <v>3664</v>
      </c>
      <c r="R6" s="23" t="s">
        <v>49</v>
      </c>
      <c r="S6" s="24">
        <f t="shared" ref="S6" si="8">P6/Q6</f>
        <v>0.96381065775109143</v>
      </c>
    </row>
    <row r="7" spans="1:19">
      <c r="A7" s="2" t="s">
        <v>23</v>
      </c>
      <c r="B7" s="4">
        <v>300</v>
      </c>
      <c r="C7" s="9">
        <f>'[1]Buffer Summary'!$F7</f>
        <v>1105.12941</v>
      </c>
      <c r="D7" s="8">
        <f>'[1]Buffer Summary'!$D7</f>
        <v>884.10352799999998</v>
      </c>
      <c r="E7" s="7">
        <f>'[1]Buffer Summary'!$B7</f>
        <v>631.50251999999989</v>
      </c>
      <c r="F7" s="13">
        <v>21</v>
      </c>
      <c r="G7" s="14">
        <f t="shared" si="2"/>
        <v>1105.12941</v>
      </c>
      <c r="H7" s="14">
        <f t="shared" si="3"/>
        <v>1989.2329380000001</v>
      </c>
      <c r="I7" s="15">
        <f t="shared" si="4"/>
        <v>2620.7354580000001</v>
      </c>
      <c r="J7" s="16">
        <f>'Wk 1 Analysis '!N7</f>
        <v>1438.3999999999999</v>
      </c>
      <c r="K7" s="14">
        <f>'[2]On-Order'!$G7+'Wk -1 Analysis '!Q7+'Wk 0 Analysis '!Q7+'Wk 1 Analysis '!Q7</f>
        <v>1200</v>
      </c>
      <c r="L7" s="14">
        <f>[2]Consume!$H7</f>
        <v>266.7</v>
      </c>
      <c r="M7" s="14">
        <f t="shared" si="5"/>
        <v>2371.6999999999998</v>
      </c>
      <c r="N7" s="21">
        <f>J7+'New Arrivals'!H7-[2]Consume!$H7</f>
        <v>1171.6999999999998</v>
      </c>
      <c r="O7" s="22">
        <f t="shared" si="6"/>
        <v>0.90497497286885631</v>
      </c>
      <c r="P7" s="14"/>
      <c r="Q7" s="14"/>
      <c r="R7" s="14"/>
      <c r="S7" s="32"/>
    </row>
    <row r="8" spans="1:19">
      <c r="A8" s="3" t="s">
        <v>24</v>
      </c>
      <c r="B8" s="4">
        <v>700</v>
      </c>
      <c r="C8" s="9">
        <f>'[1]Buffer Summary'!$F8</f>
        <v>14594.65</v>
      </c>
      <c r="D8" s="8">
        <f>'[1]Buffer Summary'!$D8</f>
        <v>25019.4</v>
      </c>
      <c r="E8" s="7">
        <f>'[1]Buffer Summary'!$B8</f>
        <v>8339.7999999999993</v>
      </c>
      <c r="F8" s="13">
        <v>21</v>
      </c>
      <c r="G8" s="14">
        <f t="shared" si="2"/>
        <v>14594.65</v>
      </c>
      <c r="H8" s="14">
        <f t="shared" si="3"/>
        <v>39614.050000000003</v>
      </c>
      <c r="I8" s="15">
        <f t="shared" si="4"/>
        <v>47953.850000000006</v>
      </c>
      <c r="J8" s="16">
        <f>'Wk 1 Analysis '!N8</f>
        <v>4001</v>
      </c>
      <c r="K8" s="14">
        <f>'[2]On-Order'!$G8+'Wk -1 Analysis '!Q8+'Wk 0 Analysis '!Q8+'Wk 1 Analysis '!Q8</f>
        <v>33600</v>
      </c>
      <c r="L8" s="14">
        <f>[2]Consume!$H8</f>
        <v>7000</v>
      </c>
      <c r="M8" s="14">
        <f t="shared" si="5"/>
        <v>30601</v>
      </c>
      <c r="N8" s="21">
        <f>J8+'New Arrivals'!H8-[2]Consume!$H8</f>
        <v>-2999</v>
      </c>
      <c r="O8" s="22">
        <f t="shared" si="6"/>
        <v>0.63813437294398667</v>
      </c>
      <c r="P8" s="23">
        <f t="shared" ref="P8" si="9">I8-M8</f>
        <v>17352.850000000006</v>
      </c>
      <c r="Q8" s="23">
        <f>B8*25</f>
        <v>17500</v>
      </c>
      <c r="R8" s="23" t="s">
        <v>49</v>
      </c>
      <c r="S8" s="24">
        <f t="shared" ref="S8" si="10">P8/Q8</f>
        <v>0.9915914285714289</v>
      </c>
    </row>
    <row r="9" spans="1:19">
      <c r="A9" s="3" t="s">
        <v>25</v>
      </c>
      <c r="B9" s="4">
        <v>850</v>
      </c>
      <c r="C9" s="9">
        <f>'[1]Buffer Summary'!$F9</f>
        <v>9705.8630864999996</v>
      </c>
      <c r="D9" s="8">
        <f>'[1]Buffer Summary'!$D9</f>
        <v>7764.6904691999998</v>
      </c>
      <c r="E9" s="7">
        <f>'[1]Buffer Summary'!$B9</f>
        <v>5546.2074779999994</v>
      </c>
      <c r="F9" s="13">
        <v>21</v>
      </c>
      <c r="G9" s="14">
        <f t="shared" si="2"/>
        <v>9705.8630864999996</v>
      </c>
      <c r="H9" s="14">
        <f t="shared" si="3"/>
        <v>17470.5535557</v>
      </c>
      <c r="I9" s="15">
        <f t="shared" si="4"/>
        <v>23016.761033700001</v>
      </c>
      <c r="J9" s="16">
        <f>'Wk 1 Analysis '!N9</f>
        <v>9450.2999999999993</v>
      </c>
      <c r="K9" s="14">
        <f>'[2]On-Order'!$G9+'Wk -1 Analysis '!Q9+'Wk 0 Analysis '!Q9+'Wk 1 Analysis '!Q9</f>
        <v>10200</v>
      </c>
      <c r="L9" s="14">
        <f>[2]Consume!$H9</f>
        <v>1528.8</v>
      </c>
      <c r="M9" s="14">
        <f t="shared" si="5"/>
        <v>18121.5</v>
      </c>
      <c r="N9" s="21">
        <f>J9+'New Arrivals'!H9-[2]Consume!$H9</f>
        <v>7921.4999999999991</v>
      </c>
      <c r="O9" s="22">
        <f t="shared" si="6"/>
        <v>0.78731755408449511</v>
      </c>
      <c r="P9" s="23">
        <f t="shared" ref="P9" si="11">I9-M9</f>
        <v>4895.2610337000006</v>
      </c>
      <c r="Q9" s="23">
        <f>B9*6</f>
        <v>5100</v>
      </c>
      <c r="R9" s="23" t="s">
        <v>49</v>
      </c>
      <c r="S9" s="24">
        <f t="shared" ref="S9" si="12">P9/Q9</f>
        <v>0.95985510464705892</v>
      </c>
    </row>
    <row r="10" spans="1:19">
      <c r="A10" s="3" t="s">
        <v>26</v>
      </c>
      <c r="B10" s="5">
        <v>6272</v>
      </c>
      <c r="C10" s="9">
        <f>'[1]Buffer Summary'!$F10</f>
        <v>10976</v>
      </c>
      <c r="D10" s="8">
        <f>'[1]Buffer Summary'!$D10</f>
        <v>876.23199999999997</v>
      </c>
      <c r="E10" s="7">
        <f>'[1]Buffer Summary'!$B10</f>
        <v>6272</v>
      </c>
      <c r="F10" s="13">
        <v>21</v>
      </c>
      <c r="G10" s="14">
        <f t="shared" si="2"/>
        <v>10976</v>
      </c>
      <c r="H10" s="14">
        <f t="shared" si="3"/>
        <v>11852.232</v>
      </c>
      <c r="I10" s="15">
        <f t="shared" si="4"/>
        <v>18124.232</v>
      </c>
      <c r="J10" s="16">
        <f>'Wk 1 Analysis '!N10</f>
        <v>18936</v>
      </c>
      <c r="K10" s="14">
        <f>'[2]On-Order'!$G10+'Wk -1 Analysis '!Q10+'Wk 0 Analysis '!Q10+'Wk 1 Analysis '!Q10</f>
        <v>6272</v>
      </c>
      <c r="L10" s="14">
        <f>[2]Consume!$H10</f>
        <v>213</v>
      </c>
      <c r="M10" s="14">
        <f t="shared" si="5"/>
        <v>24995</v>
      </c>
      <c r="N10" s="21">
        <f>J10+'New Arrivals'!H10-[2]Consume!$H10</f>
        <v>18723</v>
      </c>
      <c r="O10" s="22">
        <f t="shared" si="6"/>
        <v>1.379092918254412</v>
      </c>
      <c r="P10" s="14"/>
      <c r="Q10" s="14"/>
      <c r="R10" s="14"/>
      <c r="S10" s="32"/>
    </row>
    <row r="11" spans="1:19">
      <c r="A11" s="3" t="s">
        <v>28</v>
      </c>
      <c r="B11" s="5">
        <v>6400</v>
      </c>
      <c r="C11" s="9">
        <f>'[1]Buffer Summary'!$F11</f>
        <v>11200</v>
      </c>
      <c r="D11" s="8">
        <f>'[1]Buffer Summary'!$D11</f>
        <v>882.952</v>
      </c>
      <c r="E11" s="7">
        <f>'[1]Buffer Summary'!$B11</f>
        <v>6400</v>
      </c>
      <c r="F11" s="13">
        <v>21</v>
      </c>
      <c r="G11" s="14">
        <f t="shared" si="2"/>
        <v>11200</v>
      </c>
      <c r="H11" s="14">
        <f t="shared" si="3"/>
        <v>12082.951999999999</v>
      </c>
      <c r="I11" s="15">
        <f t="shared" si="4"/>
        <v>18482.951999999997</v>
      </c>
      <c r="J11" s="16">
        <f>'Wk 1 Analysis '!N11</f>
        <v>19845</v>
      </c>
      <c r="K11" s="14">
        <f>'[2]On-Order'!$G11+'Wk -1 Analysis '!Q11+'Wk 0 Analysis '!Q11+'Wk 1 Analysis '!Q11</f>
        <v>6400</v>
      </c>
      <c r="L11" s="14">
        <f>[2]Consume!$H11</f>
        <v>213</v>
      </c>
      <c r="M11" s="14">
        <f t="shared" si="5"/>
        <v>26032</v>
      </c>
      <c r="N11" s="21">
        <f>J11+'New Arrivals'!H11-[2]Consume!$H11</f>
        <v>19632</v>
      </c>
      <c r="O11" s="22">
        <f t="shared" si="6"/>
        <v>1.4084330252007364</v>
      </c>
      <c r="P11" s="14"/>
      <c r="Q11" s="14"/>
      <c r="R11" s="14"/>
      <c r="S11" s="32"/>
    </row>
    <row r="12" spans="1:19">
      <c r="A12" s="3" t="s">
        <v>29</v>
      </c>
      <c r="B12" s="5">
        <v>50000</v>
      </c>
      <c r="C12" s="9">
        <f>'[1]Buffer Summary'!$F12</f>
        <v>87500</v>
      </c>
      <c r="D12" s="8">
        <f>'[1]Buffer Summary'!$D12</f>
        <v>9435.8879999999972</v>
      </c>
      <c r="E12" s="7">
        <f>'[1]Buffer Summary'!$B12</f>
        <v>50000</v>
      </c>
      <c r="F12" s="13">
        <v>21</v>
      </c>
      <c r="G12" s="14">
        <f t="shared" si="2"/>
        <v>87500</v>
      </c>
      <c r="H12" s="14">
        <f t="shared" si="3"/>
        <v>96935.887999999992</v>
      </c>
      <c r="I12" s="15">
        <f t="shared" si="4"/>
        <v>146935.88799999998</v>
      </c>
      <c r="J12" s="16">
        <f>'Wk 1 Analysis '!N12</f>
        <v>159613</v>
      </c>
      <c r="K12" s="14">
        <f>'[2]On-Order'!$G12+'Wk -1 Analysis '!Q12+'Wk 0 Analysis '!Q12+'Wk 1 Analysis '!Q12</f>
        <v>0</v>
      </c>
      <c r="L12" s="14">
        <f>[2]Consume!$H12</f>
        <v>2439</v>
      </c>
      <c r="M12" s="14">
        <f t="shared" si="5"/>
        <v>157174</v>
      </c>
      <c r="N12" s="21">
        <f>J12+'New Arrivals'!H12-[2]Consume!$H12</f>
        <v>157174</v>
      </c>
      <c r="O12" s="22">
        <f t="shared" si="6"/>
        <v>1.0696774092385111</v>
      </c>
      <c r="P12" s="14"/>
      <c r="Q12" s="14"/>
      <c r="R12" s="14"/>
      <c r="S12" s="32"/>
    </row>
    <row r="13" spans="1:19">
      <c r="A13" s="3" t="s">
        <v>30</v>
      </c>
      <c r="B13" s="4">
        <v>450</v>
      </c>
      <c r="C13" s="9">
        <f>'[1]Buffer Summary'!$F13</f>
        <v>22731.4986899</v>
      </c>
      <c r="D13" s="8">
        <f>'[1]Buffer Summary'!$D13</f>
        <v>18185.19895192</v>
      </c>
      <c r="E13" s="7">
        <f>'[1]Buffer Summary'!$B13</f>
        <v>12989.427822799998</v>
      </c>
      <c r="F13" s="13">
        <v>21</v>
      </c>
      <c r="G13" s="14">
        <f t="shared" si="2"/>
        <v>22731.4986899</v>
      </c>
      <c r="H13" s="14">
        <f t="shared" si="3"/>
        <v>40916.697641819999</v>
      </c>
      <c r="I13" s="15">
        <f t="shared" si="4"/>
        <v>53906.125464619996</v>
      </c>
      <c r="J13" s="16">
        <f>'Wk 1 Analysis '!N13</f>
        <v>6069</v>
      </c>
      <c r="K13" s="14">
        <f>'[2]On-Order'!$G13+'Wk -1 Analysis '!Q13+'Wk 0 Analysis '!Q13+'Wk 1 Analysis '!Q13</f>
        <v>40500</v>
      </c>
      <c r="L13" s="14">
        <f>[2]Consume!$H13</f>
        <v>4091.6</v>
      </c>
      <c r="M13" s="14">
        <f t="shared" si="5"/>
        <v>42477.4</v>
      </c>
      <c r="N13" s="21">
        <f>J13+'New Arrivals'!H13-[2]Consume!$H13</f>
        <v>1977.4</v>
      </c>
      <c r="O13" s="22">
        <f t="shared" si="6"/>
        <v>0.78798837115234766</v>
      </c>
      <c r="P13" s="14"/>
      <c r="Q13" s="14"/>
      <c r="R13" s="14"/>
      <c r="S13" s="32"/>
    </row>
    <row r="14" spans="1:19">
      <c r="A14" s="3" t="s">
        <v>31</v>
      </c>
      <c r="B14" s="4">
        <v>750</v>
      </c>
      <c r="C14" s="9">
        <f>'[1]Buffer Summary'!$F14</f>
        <v>4069.1037274999994</v>
      </c>
      <c r="D14" s="8">
        <f>'[1]Buffer Summary'!$D14</f>
        <v>3255.2829820000006</v>
      </c>
      <c r="E14" s="7">
        <f>'[1]Buffer Summary'!$B14</f>
        <v>2325.2021299999997</v>
      </c>
      <c r="F14" s="13">
        <v>21</v>
      </c>
      <c r="G14" s="14">
        <f t="shared" si="2"/>
        <v>4069.1037274999994</v>
      </c>
      <c r="H14" s="14">
        <f t="shared" si="3"/>
        <v>7324.3867095000005</v>
      </c>
      <c r="I14" s="15">
        <f t="shared" si="4"/>
        <v>9649.5888395000002</v>
      </c>
      <c r="J14" s="16">
        <f>'Wk 1 Analysis '!N14</f>
        <v>4341.5</v>
      </c>
      <c r="K14" s="14">
        <f>'[2]On-Order'!$G14+'Wk -1 Analysis '!Q14+'Wk 0 Analysis '!Q14+'Wk 1 Analysis '!Q14</f>
        <v>4500</v>
      </c>
      <c r="L14" s="14">
        <f>[2]Consume!$H14</f>
        <v>544.9</v>
      </c>
      <c r="M14" s="14">
        <f t="shared" si="5"/>
        <v>8296.6</v>
      </c>
      <c r="N14" s="21">
        <f>J14+'New Arrivals'!H14-[2]Consume!$H14</f>
        <v>3796.6</v>
      </c>
      <c r="O14" s="22">
        <f t="shared" si="6"/>
        <v>0.85978792858389752</v>
      </c>
      <c r="P14" s="14"/>
      <c r="Q14" s="14"/>
      <c r="R14" s="14"/>
      <c r="S14" s="14"/>
    </row>
    <row r="15" spans="1:19">
      <c r="A15" s="3" t="s">
        <v>32</v>
      </c>
      <c r="B15" s="4">
        <v>700</v>
      </c>
      <c r="C15" s="9">
        <f>'[1]Buffer Summary'!$F15</f>
        <v>1666.2783549999999</v>
      </c>
      <c r="D15" s="8">
        <f>'[1]Buffer Summary'!$D15</f>
        <v>1307.794124</v>
      </c>
      <c r="E15" s="7">
        <f>'[1]Buffer Summary'!$B15</f>
        <v>952.15905999999995</v>
      </c>
      <c r="F15" s="13">
        <v>21</v>
      </c>
      <c r="G15" s="14">
        <f t="shared" si="2"/>
        <v>1666.2783549999999</v>
      </c>
      <c r="H15" s="14">
        <f t="shared" si="3"/>
        <v>2974.0724789999999</v>
      </c>
      <c r="I15" s="15">
        <f t="shared" si="4"/>
        <v>3926.2315389999999</v>
      </c>
      <c r="J15" s="16">
        <f>'Wk 1 Analysis '!N15</f>
        <v>1333.4</v>
      </c>
      <c r="K15" s="14">
        <f>'[2]On-Order'!$G15+'Wk -1 Analysis '!Q15+'Wk 0 Analysis '!Q15+'Wk 1 Analysis '!Q15</f>
        <v>2100</v>
      </c>
      <c r="L15" s="14">
        <f>[2]Consume!$H15</f>
        <v>215.1</v>
      </c>
      <c r="M15" s="14">
        <f t="shared" si="5"/>
        <v>3218.3</v>
      </c>
      <c r="N15" s="21">
        <f>J15+'New Arrivals'!H15-[2]Consume!$H15</f>
        <v>1118.3000000000002</v>
      </c>
      <c r="O15" s="22">
        <f t="shared" si="6"/>
        <v>0.81969185159663105</v>
      </c>
      <c r="P15" s="14"/>
      <c r="Q15" s="14"/>
      <c r="R15" s="14"/>
      <c r="S15" s="14"/>
    </row>
    <row r="16" spans="1:19">
      <c r="A16" s="3" t="s">
        <v>33</v>
      </c>
      <c r="B16" s="4">
        <v>750</v>
      </c>
      <c r="C16" s="9">
        <f>'[1]Buffer Summary'!$F16</f>
        <v>2259.6644349999997</v>
      </c>
      <c r="D16" s="8">
        <f>'[1]Buffer Summary'!$D16</f>
        <v>1807.7315480000002</v>
      </c>
      <c r="E16" s="7">
        <f>'[1]Buffer Summary'!$B16</f>
        <v>1291.2368199999999</v>
      </c>
      <c r="F16" s="13">
        <v>21</v>
      </c>
      <c r="G16" s="14">
        <f t="shared" si="2"/>
        <v>2259.6644349999997</v>
      </c>
      <c r="H16" s="14">
        <f t="shared" si="3"/>
        <v>4067.3959829999999</v>
      </c>
      <c r="I16" s="15">
        <f t="shared" si="4"/>
        <v>5358.6328029999995</v>
      </c>
      <c r="J16" s="16">
        <f>'Wk 1 Analysis '!N16</f>
        <v>5468.4</v>
      </c>
      <c r="K16" s="14">
        <f>'[2]On-Order'!$G16+'Wk -1 Analysis '!Q16+'Wk 0 Analysis '!Q16+'Wk 1 Analysis '!Q16</f>
        <v>4500</v>
      </c>
      <c r="L16" s="14">
        <f>[2]Consume!$H16</f>
        <v>251.1</v>
      </c>
      <c r="M16" s="14">
        <f t="shared" si="5"/>
        <v>9717.2999999999993</v>
      </c>
      <c r="N16" s="21">
        <f>J16+'New Arrivals'!H16-[2]Consume!$H16</f>
        <v>5217.2999999999993</v>
      </c>
      <c r="O16" s="22">
        <f t="shared" si="6"/>
        <v>1.8133916536620731</v>
      </c>
      <c r="P16" s="14"/>
      <c r="Q16" s="14"/>
      <c r="R16" s="14"/>
      <c r="S16" s="14"/>
    </row>
    <row r="17" spans="1:19">
      <c r="A17" s="3" t="s">
        <v>34</v>
      </c>
      <c r="B17" s="5">
        <v>2475</v>
      </c>
      <c r="C17" s="9">
        <f>'[1]Buffer Summary'!$F17</f>
        <v>29302.883610000001</v>
      </c>
      <c r="D17" s="8">
        <f>'[1]Buffer Summary'!$D17</f>
        <v>23442.306887999999</v>
      </c>
      <c r="E17" s="7">
        <f>'[1]Buffer Summary'!$B17</f>
        <v>16744.504919999999</v>
      </c>
      <c r="F17" s="13">
        <v>21</v>
      </c>
      <c r="G17" s="14">
        <f t="shared" si="2"/>
        <v>29302.883610000001</v>
      </c>
      <c r="H17" s="14">
        <f t="shared" si="3"/>
        <v>52745.190497999996</v>
      </c>
      <c r="I17" s="15">
        <f t="shared" si="4"/>
        <v>69489.695417999988</v>
      </c>
      <c r="J17" s="16">
        <f>'Wk 1 Analysis '!N17</f>
        <v>16148.099999999997</v>
      </c>
      <c r="K17" s="14">
        <f>'[2]On-Order'!$G17+'Wk -1 Analysis '!Q17+'Wk 0 Analysis '!Q17+'Wk 1 Analysis '!Q17</f>
        <v>50325</v>
      </c>
      <c r="L17" s="14">
        <f>[2]Consume!$H17</f>
        <v>5511.9</v>
      </c>
      <c r="M17" s="14">
        <f t="shared" si="5"/>
        <v>60961.19999999999</v>
      </c>
      <c r="N17" s="21">
        <f>J17+'New Arrivals'!H17-[2]Consume!$H17</f>
        <v>10636.199999999997</v>
      </c>
      <c r="O17" s="22">
        <f t="shared" si="6"/>
        <v>0.8772696388047363</v>
      </c>
      <c r="P17" s="14"/>
      <c r="Q17" s="14"/>
      <c r="R17" s="14"/>
      <c r="S17" s="14"/>
    </row>
    <row r="18" spans="1:19">
      <c r="A18" s="3" t="s">
        <v>35</v>
      </c>
      <c r="B18" s="5">
        <v>1000</v>
      </c>
      <c r="C18" s="9">
        <f>'[1]Buffer Summary'!$F18</f>
        <v>4449.3902600000001</v>
      </c>
      <c r="D18" s="8">
        <f>'[1]Buffer Summary'!$D18</f>
        <v>3559.5122080000001</v>
      </c>
      <c r="E18" s="7">
        <f>'[1]Buffer Summary'!$B18</f>
        <v>2542.5087199999994</v>
      </c>
      <c r="F18" s="13">
        <v>21</v>
      </c>
      <c r="G18" s="14">
        <f t="shared" si="2"/>
        <v>4449.3902600000001</v>
      </c>
      <c r="H18" s="14">
        <f t="shared" si="3"/>
        <v>8008.9024680000002</v>
      </c>
      <c r="I18" s="15">
        <f t="shared" si="4"/>
        <v>10551.411188</v>
      </c>
      <c r="J18" s="16">
        <f>'Wk 1 Analysis '!N18</f>
        <v>2791.3000000000006</v>
      </c>
      <c r="K18" s="14">
        <f>'[2]On-Order'!$G18+'Wk -1 Analysis '!Q18+'Wk 0 Analysis '!Q18+'Wk 1 Analysis '!Q18</f>
        <v>11000</v>
      </c>
      <c r="L18" s="14">
        <f>[2]Consume!$H18</f>
        <v>0</v>
      </c>
      <c r="M18" s="14">
        <f t="shared" si="5"/>
        <v>13791.300000000001</v>
      </c>
      <c r="N18" s="21">
        <f>J18+'New Arrivals'!H18-[2]Consume!$H18</f>
        <v>2791.3000000000006</v>
      </c>
      <c r="O18" s="22">
        <f t="shared" si="6"/>
        <v>1.3070573930134284</v>
      </c>
      <c r="P18" s="14"/>
      <c r="Q18" s="14"/>
      <c r="R18" s="14"/>
      <c r="S18" s="14"/>
    </row>
    <row r="19" spans="1:19">
      <c r="A19" s="3" t="s">
        <v>36</v>
      </c>
      <c r="B19" s="4">
        <v>20</v>
      </c>
      <c r="C19" s="9">
        <f>'[1]Buffer Summary'!$F19</f>
        <v>35.079274999999996</v>
      </c>
      <c r="D19" s="8">
        <f>'[1]Buffer Summary'!$D19</f>
        <v>37.999866666666662</v>
      </c>
      <c r="E19" s="7">
        <f>'[1]Buffer Summary'!$B19</f>
        <v>20.045300000000001</v>
      </c>
      <c r="F19" s="13">
        <v>44</v>
      </c>
      <c r="G19" s="14">
        <f t="shared" si="2"/>
        <v>35.079274999999996</v>
      </c>
      <c r="H19" s="14">
        <f t="shared" si="3"/>
        <v>73.079141666666658</v>
      </c>
      <c r="I19" s="15">
        <f t="shared" si="4"/>
        <v>93.124441666666655</v>
      </c>
      <c r="J19" s="16">
        <f>'Wk 1 Analysis '!N19</f>
        <v>24.5</v>
      </c>
      <c r="K19" s="14">
        <f>'[2]On-Order'!$G19+'Wk -1 Analysis '!Q19+'Wk 0 Analysis '!Q19+'Wk 1 Analysis '!Q19</f>
        <v>201</v>
      </c>
      <c r="L19" s="14">
        <f>[2]Consume!$H19</f>
        <v>0</v>
      </c>
      <c r="M19" s="14">
        <f t="shared" si="5"/>
        <v>225.5</v>
      </c>
      <c r="N19" s="21">
        <f>J19+'New Arrivals'!H19-[2]Consume!$H19</f>
        <v>104.5</v>
      </c>
      <c r="O19" s="22">
        <f t="shared" si="6"/>
        <v>2.4214910281788717</v>
      </c>
      <c r="P19" s="14"/>
      <c r="Q19" s="14"/>
      <c r="R19" s="14"/>
      <c r="S19" s="14"/>
    </row>
    <row r="20" spans="1:19">
      <c r="A20" s="3" t="s">
        <v>37</v>
      </c>
      <c r="B20" s="4">
        <v>15</v>
      </c>
      <c r="C20" s="9">
        <f>'[1]Buffer Summary'!$F20</f>
        <v>51.674885500000002</v>
      </c>
      <c r="D20" s="8">
        <f>'[1]Buffer Summary'!$D20</f>
        <v>41.339908400000006</v>
      </c>
      <c r="E20" s="7">
        <f>'[1]Buffer Summary'!$B20</f>
        <v>29.528506000000004</v>
      </c>
      <c r="F20" s="13">
        <v>21</v>
      </c>
      <c r="G20" s="14">
        <f t="shared" si="2"/>
        <v>51.674885500000002</v>
      </c>
      <c r="H20" s="14">
        <f t="shared" si="3"/>
        <v>93.014793900000001</v>
      </c>
      <c r="I20" s="15">
        <f t="shared" si="4"/>
        <v>122.54329990000001</v>
      </c>
      <c r="J20" s="16">
        <f>'Wk 1 Analysis '!N20</f>
        <v>19.300000000000004</v>
      </c>
      <c r="K20" s="14">
        <f>'[2]On-Order'!$G20+'Wk -1 Analysis '!Q20+'Wk 0 Analysis '!Q20+'Wk 1 Analysis '!Q20</f>
        <v>290</v>
      </c>
      <c r="L20" s="14">
        <f>[2]Consume!$H20</f>
        <v>2.8</v>
      </c>
      <c r="M20" s="14">
        <f t="shared" si="5"/>
        <v>306.5</v>
      </c>
      <c r="N20" s="21">
        <f>J20+'New Arrivals'!H20-[2]Consume!$H20</f>
        <v>106.50000000000001</v>
      </c>
      <c r="O20" s="22">
        <f t="shared" si="6"/>
        <v>2.5011567360281277</v>
      </c>
      <c r="P20" s="14"/>
      <c r="Q20" s="14"/>
      <c r="R20" s="14"/>
      <c r="S20" s="14"/>
    </row>
    <row r="21" spans="1:19">
      <c r="A21" s="3" t="s">
        <v>38</v>
      </c>
      <c r="B21" s="4">
        <v>20</v>
      </c>
      <c r="C21" s="9">
        <f>'[1]Buffer Summary'!$F21</f>
        <v>78.086971199999979</v>
      </c>
      <c r="D21" s="8">
        <f>'[1]Buffer Summary'!$D21</f>
        <v>130.88863743999997</v>
      </c>
      <c r="E21" s="7">
        <f>'[1]Buffer Summary'!$B21</f>
        <v>44.621126399999994</v>
      </c>
      <c r="F21" s="13">
        <v>44</v>
      </c>
      <c r="G21" s="14">
        <f t="shared" si="2"/>
        <v>78.086971199999979</v>
      </c>
      <c r="H21" s="14">
        <f t="shared" si="3"/>
        <v>208.97560863999996</v>
      </c>
      <c r="I21" s="15">
        <f t="shared" si="4"/>
        <v>253.59673503999994</v>
      </c>
      <c r="J21" s="16">
        <f>'Wk 1 Analysis '!N21</f>
        <v>158.20000000000002</v>
      </c>
      <c r="K21" s="14">
        <f>'[2]On-Order'!$G21+'Wk -1 Analysis '!Q21+'Wk 0 Analysis '!Q21+'Wk 1 Analysis '!Q21</f>
        <v>101</v>
      </c>
      <c r="L21" s="14">
        <f>[2]Consume!$H21</f>
        <v>0</v>
      </c>
      <c r="M21" s="14">
        <f t="shared" si="5"/>
        <v>259.20000000000005</v>
      </c>
      <c r="N21" s="21">
        <f>J21+'New Arrivals'!H21-[2]Consume!$H21</f>
        <v>158.20000000000002</v>
      </c>
      <c r="O21" s="22">
        <f t="shared" si="6"/>
        <v>1.0220951778386118</v>
      </c>
      <c r="P21" s="14"/>
      <c r="Q21" s="14"/>
      <c r="R21" s="14"/>
      <c r="S21" s="14"/>
    </row>
    <row r="22" spans="1:19">
      <c r="A22" s="3" t="s">
        <v>39</v>
      </c>
      <c r="B22" s="5">
        <v>1000</v>
      </c>
      <c r="C22" s="9">
        <f>'[1]Buffer Summary'!$F22</f>
        <v>2019.8313333333331</v>
      </c>
      <c r="D22" s="8">
        <f>'[1]Buffer Summary'!$D22</f>
        <v>2912.6439999999998</v>
      </c>
      <c r="E22" s="7">
        <f>'[1]Buffer Summary'!$B22</f>
        <v>1154.1893333333333</v>
      </c>
      <c r="F22" s="13">
        <v>21</v>
      </c>
      <c r="G22" s="14">
        <f t="shared" si="2"/>
        <v>2019.8313333333331</v>
      </c>
      <c r="H22" s="14">
        <f t="shared" si="3"/>
        <v>4932.4753333333329</v>
      </c>
      <c r="I22" s="15">
        <f t="shared" si="4"/>
        <v>6086.6646666666657</v>
      </c>
      <c r="J22" s="16">
        <f>'Wk 1 Analysis '!N22</f>
        <v>3285</v>
      </c>
      <c r="K22" s="14">
        <f>'[2]On-Order'!$G22+'Wk -1 Analysis '!Q22+'Wk 0 Analysis '!Q22+'Wk 1 Analysis '!Q22</f>
        <v>2000</v>
      </c>
      <c r="L22" s="14">
        <f>[2]Consume!$H22</f>
        <v>932</v>
      </c>
      <c r="M22" s="14">
        <f t="shared" si="5"/>
        <v>4353</v>
      </c>
      <c r="N22" s="21">
        <f>J22+'New Arrivals'!H22-[2]Consume!$H22</f>
        <v>2353</v>
      </c>
      <c r="O22" s="22">
        <f t="shared" si="6"/>
        <v>0.71517000498466765</v>
      </c>
      <c r="P22" s="23">
        <f t="shared" ref="P22" si="13">I22-M22</f>
        <v>1733.6646666666657</v>
      </c>
      <c r="Q22" s="23">
        <f>B22*2</f>
        <v>2000</v>
      </c>
      <c r="R22" s="23" t="s">
        <v>49</v>
      </c>
      <c r="S22" s="24">
        <f t="shared" ref="S22" si="14">P22/Q22</f>
        <v>0.86683233333333287</v>
      </c>
    </row>
    <row r="23" spans="1:19">
      <c r="A23" s="3" t="s">
        <v>40</v>
      </c>
      <c r="B23" s="4">
        <v>990</v>
      </c>
      <c r="C23" s="9">
        <f>'[1]Buffer Summary'!$F23</f>
        <v>60066.551999999989</v>
      </c>
      <c r="D23" s="8">
        <f>'[1]Buffer Summary'!$D23</f>
        <v>13348.122666666666</v>
      </c>
      <c r="E23" s="7">
        <f>'[1]Buffer Summary'!$B23</f>
        <v>40044.367999999995</v>
      </c>
      <c r="F23" s="13">
        <v>14</v>
      </c>
      <c r="G23" s="14">
        <f t="shared" si="2"/>
        <v>60066.551999999989</v>
      </c>
      <c r="H23" s="14">
        <f t="shared" si="3"/>
        <v>73414.674666666659</v>
      </c>
      <c r="I23" s="15">
        <f t="shared" si="4"/>
        <v>113459.04266666665</v>
      </c>
      <c r="J23" s="16">
        <f>'Wk 1 Analysis '!N23</f>
        <v>108887</v>
      </c>
      <c r="K23" s="14">
        <f>'[2]On-Order'!$G23+'Wk -1 Analysis '!Q23+'Wk 0 Analysis '!Q23+'Wk 1 Analysis '!Q23</f>
        <v>25170</v>
      </c>
      <c r="L23" s="14">
        <f>[2]Consume!$H23</f>
        <v>3975</v>
      </c>
      <c r="M23" s="14">
        <f t="shared" si="5"/>
        <v>130082</v>
      </c>
      <c r="N23" s="21">
        <f>J23+'New Arrivals'!H23-[2]Consume!$H23</f>
        <v>104912</v>
      </c>
      <c r="O23" s="22">
        <f t="shared" si="6"/>
        <v>1.1465106433355889</v>
      </c>
      <c r="P23" s="14"/>
      <c r="Q23" s="14"/>
      <c r="R23" s="14"/>
      <c r="S23" s="32"/>
    </row>
    <row r="24" spans="1:19">
      <c r="A24" s="3" t="s">
        <v>41</v>
      </c>
      <c r="B24" s="4">
        <v>990</v>
      </c>
      <c r="C24" s="9">
        <f>'[1]Buffer Summary'!$F24</f>
        <v>107959.068</v>
      </c>
      <c r="D24" s="8">
        <f>'[1]Buffer Summary'!$D24</f>
        <v>23990.904000000002</v>
      </c>
      <c r="E24" s="7">
        <f>'[1]Buffer Summary'!$B24</f>
        <v>71972.712</v>
      </c>
      <c r="F24" s="13">
        <v>14</v>
      </c>
      <c r="G24" s="14">
        <f t="shared" si="2"/>
        <v>107959.068</v>
      </c>
      <c r="H24" s="14">
        <f t="shared" si="3"/>
        <v>131949.97200000001</v>
      </c>
      <c r="I24" s="15">
        <f t="shared" si="4"/>
        <v>203922.68400000001</v>
      </c>
      <c r="J24" s="16">
        <f>'Wk 1 Analysis '!N24</f>
        <v>209510</v>
      </c>
      <c r="K24" s="14">
        <f>'[2]On-Order'!$G24+'Wk -1 Analysis '!Q24+'Wk 0 Analysis '!Q24+'Wk 1 Analysis '!Q24</f>
        <v>35910</v>
      </c>
      <c r="L24" s="14">
        <f>[2]Consume!$H24</f>
        <v>6720</v>
      </c>
      <c r="M24" s="14">
        <f t="shared" si="5"/>
        <v>238700</v>
      </c>
      <c r="N24" s="21">
        <f>J24+'New Arrivals'!H24-[2]Consume!$H24</f>
        <v>202790</v>
      </c>
      <c r="O24" s="22">
        <f t="shared" si="6"/>
        <v>1.1705416745103256</v>
      </c>
      <c r="P24" s="14"/>
      <c r="Q24" s="14"/>
      <c r="R24" s="14"/>
      <c r="S24" s="32"/>
    </row>
    <row r="25" spans="1:19">
      <c r="A25" s="3" t="s">
        <v>42</v>
      </c>
      <c r="B25" s="4">
        <v>202</v>
      </c>
      <c r="C25" s="9">
        <f>'[1]Buffer Summary'!$F25</f>
        <v>1135.0720919999999</v>
      </c>
      <c r="D25" s="8">
        <f>'[1]Buffer Summary'!$D25</f>
        <v>252.23824266666665</v>
      </c>
      <c r="E25" s="7">
        <f>'[1]Buffer Summary'!$B25</f>
        <v>756.71472799999992</v>
      </c>
      <c r="F25" s="13">
        <v>14</v>
      </c>
      <c r="G25" s="14">
        <f t="shared" si="2"/>
        <v>1135.0720919999999</v>
      </c>
      <c r="H25" s="14">
        <f t="shared" si="3"/>
        <v>1387.3103346666664</v>
      </c>
      <c r="I25" s="15">
        <f t="shared" si="4"/>
        <v>2144.0250626666666</v>
      </c>
      <c r="J25" s="16">
        <f>'Wk 1 Analysis '!N25</f>
        <v>529.70000000000005</v>
      </c>
      <c r="K25" s="14">
        <f>'[2]On-Order'!$G25+'Wk -1 Analysis '!Q25+'Wk 0 Analysis '!Q25+'Wk 1 Analysis '!Q25</f>
        <v>1414</v>
      </c>
      <c r="L25" s="14">
        <f>[2]Consume!$H25</f>
        <v>67.5</v>
      </c>
      <c r="M25" s="14">
        <f t="shared" si="5"/>
        <v>1876.2</v>
      </c>
      <c r="N25" s="21">
        <f>J25+'New Arrivals'!H25-[2]Consume!$H25</f>
        <v>1876.2</v>
      </c>
      <c r="O25" s="22">
        <f t="shared" si="6"/>
        <v>0.87508305414417376</v>
      </c>
      <c r="P25" s="14"/>
      <c r="Q25" s="14"/>
      <c r="R25" s="14"/>
      <c r="S25" s="32"/>
    </row>
    <row r="26" spans="1:19">
      <c r="A26" s="3" t="s">
        <v>43</v>
      </c>
      <c r="B26" s="5">
        <v>1300</v>
      </c>
      <c r="C26" s="9">
        <f>'[1]Buffer Summary'!$F26</f>
        <v>16720.871999999996</v>
      </c>
      <c r="D26" s="8">
        <f>'[1]Buffer Summary'!$D26</f>
        <v>5573.6239999999998</v>
      </c>
      <c r="E26" s="7">
        <f>'[1]Buffer Summary'!$B26</f>
        <v>11147.248</v>
      </c>
      <c r="F26" s="13">
        <v>14</v>
      </c>
      <c r="G26" s="14">
        <f t="shared" si="2"/>
        <v>16720.871999999996</v>
      </c>
      <c r="H26" s="14">
        <f t="shared" si="3"/>
        <v>22294.495999999996</v>
      </c>
      <c r="I26" s="15">
        <f t="shared" si="4"/>
        <v>33441.743999999992</v>
      </c>
      <c r="J26" s="16">
        <f>'Wk 1 Analysis '!N26</f>
        <v>16139</v>
      </c>
      <c r="K26" s="14">
        <f>'[2]On-Order'!$G26+'Wk -1 Analysis '!Q26+'Wk 0 Analysis '!Q26+'Wk 1 Analysis '!Q26</f>
        <v>20800</v>
      </c>
      <c r="L26" s="14">
        <f>[2]Consume!$H26</f>
        <v>2070</v>
      </c>
      <c r="M26" s="14">
        <f t="shared" si="5"/>
        <v>34869</v>
      </c>
      <c r="N26" s="21">
        <f>J26+'New Arrivals'!H26-[2]Consume!$H26</f>
        <v>14069</v>
      </c>
      <c r="O26" s="22">
        <f t="shared" si="6"/>
        <v>1.0426788746424231</v>
      </c>
      <c r="P26" s="14"/>
      <c r="Q26" s="14"/>
      <c r="R26" s="14"/>
      <c r="S26" s="32"/>
    </row>
    <row r="27" spans="1:19">
      <c r="A27" s="3" t="s">
        <v>44</v>
      </c>
      <c r="B27" s="5">
        <v>102000</v>
      </c>
      <c r="C27" s="9">
        <f>'[1]Buffer Summary'!$F27</f>
        <v>155361.12</v>
      </c>
      <c r="D27" s="8">
        <f>'[1]Buffer Summary'!$D27</f>
        <v>23897.421333333332</v>
      </c>
      <c r="E27" s="7">
        <f>'[1]Buffer Summary'!$B27</f>
        <v>103574.07999999999</v>
      </c>
      <c r="F27" s="13">
        <v>14</v>
      </c>
      <c r="G27" s="14">
        <f t="shared" si="2"/>
        <v>155361.12</v>
      </c>
      <c r="H27" s="14">
        <f t="shared" si="3"/>
        <v>179258.54133333333</v>
      </c>
      <c r="I27" s="15">
        <f t="shared" si="4"/>
        <v>282832.62133333331</v>
      </c>
      <c r="J27" s="16">
        <f>'Wk 1 Analysis '!N27</f>
        <v>68138</v>
      </c>
      <c r="K27" s="14">
        <f>'[2]On-Order'!$G27+'Wk -1 Analysis '!Q27+'Wk 0 Analysis '!Q27+'Wk 1 Analysis '!Q27</f>
        <v>204000</v>
      </c>
      <c r="L27" s="14">
        <f>[2]Consume!$H27</f>
        <v>7478</v>
      </c>
      <c r="M27" s="14">
        <f t="shared" si="5"/>
        <v>264660</v>
      </c>
      <c r="N27" s="21">
        <f>J27+'New Arrivals'!H27-[2]Consume!$H27</f>
        <v>264660</v>
      </c>
      <c r="O27" s="22">
        <f t="shared" si="6"/>
        <v>0.93574778875341991</v>
      </c>
      <c r="P27" s="14"/>
      <c r="Q27" s="14"/>
      <c r="R27" s="14"/>
      <c r="S27" s="32"/>
    </row>
    <row r="28" spans="1:19">
      <c r="A28" s="3" t="s">
        <v>45</v>
      </c>
      <c r="B28" s="5">
        <v>102000</v>
      </c>
      <c r="C28" s="9">
        <f>'[1]Buffer Summary'!$F28</f>
        <v>155281.37599999999</v>
      </c>
      <c r="D28" s="8">
        <f>'[1]Buffer Summary'!$D28</f>
        <v>24017.541333333334</v>
      </c>
      <c r="E28" s="7">
        <f>'[1]Buffer Summary'!$B28</f>
        <v>103520.91733333333</v>
      </c>
      <c r="F28" s="13">
        <v>14</v>
      </c>
      <c r="G28" s="14">
        <f t="shared" si="2"/>
        <v>155281.37599999999</v>
      </c>
      <c r="H28" s="14">
        <f t="shared" si="3"/>
        <v>179298.91733333332</v>
      </c>
      <c r="I28" s="15">
        <f t="shared" si="4"/>
        <v>282819.83466666663</v>
      </c>
      <c r="J28" s="16">
        <f>'Wk 1 Analysis '!N28</f>
        <v>71929</v>
      </c>
      <c r="K28" s="14">
        <f>'[2]On-Order'!$G28+'Wk -1 Analysis '!Q28+'Wk 0 Analysis '!Q28+'Wk 1 Analysis '!Q28</f>
        <v>204000</v>
      </c>
      <c r="L28" s="14">
        <f>[2]Consume!$H28</f>
        <v>8280</v>
      </c>
      <c r="M28" s="14">
        <f t="shared" si="5"/>
        <v>267649</v>
      </c>
      <c r="N28" s="21">
        <f>J28+'New Arrivals'!H28-[2]Consume!$H28</f>
        <v>267649</v>
      </c>
      <c r="O28" s="22">
        <f t="shared" si="6"/>
        <v>0.94635866086073106</v>
      </c>
      <c r="P28" s="14"/>
      <c r="Q28" s="14"/>
      <c r="R28" s="14"/>
      <c r="S28" s="32"/>
    </row>
  </sheetData>
  <conditionalFormatting sqref="O3:O28">
    <cfRule type="top10" dxfId="7" priority="2" bottom="1" rank="5"/>
  </conditionalFormatting>
  <conditionalFormatting sqref="N3:N28">
    <cfRule type="cellIs" dxfId="6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B53C4-887E-40B4-A643-37F3E33368BA}">
  <dimension ref="A2:S28"/>
  <sheetViews>
    <sheetView topLeftCell="A25" workbookViewId="0">
      <selection activeCell="P15" sqref="P15:S15"/>
    </sheetView>
  </sheetViews>
  <sheetFormatPr defaultRowHeight="15"/>
  <cols>
    <col min="4" max="4" width="11.140625" bestFit="1" customWidth="1"/>
    <col min="5" max="5" width="10.7109375" bestFit="1" customWidth="1"/>
    <col min="6" max="6" width="9.28515625" customWidth="1"/>
    <col min="10" max="10" width="8.28515625" style="17" customWidth="1"/>
    <col min="11" max="11" width="10" customWidth="1"/>
    <col min="12" max="12" width="10.5703125" customWidth="1"/>
    <col min="16" max="18" width="10.28515625" customWidth="1"/>
    <col min="19" max="19" width="10.7109375" customWidth="1"/>
  </cols>
  <sheetData>
    <row r="2" spans="1:19" ht="33">
      <c r="A2" s="1" t="s">
        <v>0</v>
      </c>
      <c r="B2" s="6" t="s">
        <v>1</v>
      </c>
      <c r="C2" s="11" t="s">
        <v>2</v>
      </c>
      <c r="D2" s="10" t="s">
        <v>3</v>
      </c>
      <c r="E2" s="12" t="s">
        <v>4</v>
      </c>
      <c r="F2" s="6" t="s">
        <v>5</v>
      </c>
      <c r="G2" s="6" t="s">
        <v>6</v>
      </c>
      <c r="H2" s="6" t="s">
        <v>7</v>
      </c>
      <c r="I2" s="18" t="s">
        <v>8</v>
      </c>
      <c r="J2" s="19" t="s">
        <v>9</v>
      </c>
      <c r="K2" s="6" t="s">
        <v>10</v>
      </c>
      <c r="L2" s="18" t="s">
        <v>11</v>
      </c>
      <c r="M2" s="20" t="s">
        <v>12</v>
      </c>
      <c r="N2" s="20" t="s">
        <v>13</v>
      </c>
      <c r="O2" s="20" t="s">
        <v>14</v>
      </c>
      <c r="P2" s="20" t="s">
        <v>15</v>
      </c>
      <c r="Q2" s="20" t="s">
        <v>16</v>
      </c>
      <c r="R2" s="20" t="s">
        <v>17</v>
      </c>
      <c r="S2" s="20" t="s">
        <v>18</v>
      </c>
    </row>
    <row r="3" spans="1:19">
      <c r="A3" s="2" t="s">
        <v>19</v>
      </c>
      <c r="B3" s="4">
        <v>850</v>
      </c>
      <c r="C3" s="9">
        <f>'[1]Buffer Summary'!$F3</f>
        <v>9705.8630864999996</v>
      </c>
      <c r="D3" s="8">
        <f>'[1]Buffer Summary'!$D3</f>
        <v>7764.6904691999998</v>
      </c>
      <c r="E3" s="7">
        <f>'[1]Buffer Summary'!$B3</f>
        <v>5546.2074779999994</v>
      </c>
      <c r="F3" s="13">
        <v>21</v>
      </c>
      <c r="G3" s="14">
        <f>C3</f>
        <v>9705.8630864999996</v>
      </c>
      <c r="H3" s="14">
        <f>C3+D3</f>
        <v>17470.5535557</v>
      </c>
      <c r="I3" s="15">
        <f>C3+D3+E3</f>
        <v>23016.761033700001</v>
      </c>
      <c r="J3" s="16">
        <f>'Wk 2 Analysis '!N3</f>
        <v>7921.4999999999991</v>
      </c>
      <c r="K3" s="14">
        <f>'[2]On-Order'!$H3+'Wk 2 Analysis '!Q3+'Wk 0 Analysis '!Q3+'Wk 1 Analysis '!Q3</f>
        <v>15300</v>
      </c>
      <c r="L3" s="14">
        <f>[2]Consume!$I3</f>
        <v>1812.5</v>
      </c>
      <c r="M3" s="14">
        <f>J3+K3-L3</f>
        <v>21409</v>
      </c>
      <c r="N3" s="21">
        <f>J3+'New Arrivals'!I3-[2]Consume!$I3</f>
        <v>6108.9999999999991</v>
      </c>
      <c r="O3" s="22">
        <f>M3/I3</f>
        <v>0.93014825016665048</v>
      </c>
      <c r="P3" s="14"/>
      <c r="Q3" s="14"/>
      <c r="R3" s="14"/>
      <c r="S3" s="32"/>
    </row>
    <row r="4" spans="1:19">
      <c r="A4" s="2" t="s">
        <v>20</v>
      </c>
      <c r="B4" s="4">
        <v>700</v>
      </c>
      <c r="C4" s="9">
        <f>'[1]Buffer Summary'!$F4</f>
        <v>1225</v>
      </c>
      <c r="D4" s="8">
        <f>'[1]Buffer Summary'!$D4</f>
        <v>511.33672799999994</v>
      </c>
      <c r="E4" s="7">
        <f>'[1]Buffer Summary'!$B4</f>
        <v>700</v>
      </c>
      <c r="F4" s="13">
        <v>21</v>
      </c>
      <c r="G4" s="14">
        <f t="shared" ref="G4:G28" si="0">C4</f>
        <v>1225</v>
      </c>
      <c r="H4" s="14">
        <f t="shared" ref="H4:H28" si="1">C4+D4</f>
        <v>1736.336728</v>
      </c>
      <c r="I4" s="15">
        <f t="shared" ref="I4:I28" si="2">C4+D4+E4</f>
        <v>2436.3367280000002</v>
      </c>
      <c r="J4" s="16">
        <f>'Wk 2 Analysis '!N4</f>
        <v>851.49999999999977</v>
      </c>
      <c r="K4" s="14">
        <f>'[2]On-Order'!$H4+'Wk 2 Analysis '!Q4+'Wk 0 Analysis '!Q4+'Wk 1 Analysis '!Q4</f>
        <v>1400</v>
      </c>
      <c r="L4" s="14">
        <f>[2]Consume!$I4</f>
        <v>26.9</v>
      </c>
      <c r="M4" s="14">
        <f t="shared" ref="M4:M28" si="3">J4+K4-L4</f>
        <v>2224.6</v>
      </c>
      <c r="N4" s="21">
        <f>J4+'New Arrivals'!I4-[2]Consume!$I4</f>
        <v>2224.6</v>
      </c>
      <c r="O4" s="22">
        <f t="shared" ref="O4:O28" si="4">M4/I4</f>
        <v>0.91309217417831401</v>
      </c>
      <c r="P4" s="14"/>
      <c r="Q4" s="14"/>
      <c r="R4" s="14"/>
      <c r="S4" s="32"/>
    </row>
    <row r="5" spans="1:19">
      <c r="A5" s="2" t="s">
        <v>21</v>
      </c>
      <c r="B5" s="4">
        <v>220</v>
      </c>
      <c r="C5" s="9">
        <f>'[1]Buffer Summary'!$F5</f>
        <v>399.88980499999997</v>
      </c>
      <c r="D5" s="8">
        <f>'[1]Buffer Summary'!$D5</f>
        <v>298.45594799999998</v>
      </c>
      <c r="E5" s="7">
        <f>'[1]Buffer Summary'!$B5</f>
        <v>228.50846000000001</v>
      </c>
      <c r="F5" s="13">
        <v>21</v>
      </c>
      <c r="G5" s="14">
        <f t="shared" si="0"/>
        <v>399.88980499999997</v>
      </c>
      <c r="H5" s="14">
        <f t="shared" si="1"/>
        <v>698.34575299999995</v>
      </c>
      <c r="I5" s="15">
        <f t="shared" si="2"/>
        <v>926.85421299999996</v>
      </c>
      <c r="J5" s="16">
        <f>'Wk 2 Analysis '!N5</f>
        <v>329.1</v>
      </c>
      <c r="K5" s="14">
        <f>'[2]On-Order'!$H5+'Wk 2 Analysis '!Q5+'Wk 0 Analysis '!Q5+'Wk 1 Analysis '!Q5</f>
        <v>440</v>
      </c>
      <c r="L5" s="14">
        <f>[2]Consume!$I5</f>
        <v>51</v>
      </c>
      <c r="M5" s="14">
        <f t="shared" si="3"/>
        <v>718.1</v>
      </c>
      <c r="N5" s="21">
        <f>J5+'New Arrivals'!I5-[2]Consume!$I5</f>
        <v>278.10000000000002</v>
      </c>
      <c r="O5" s="22">
        <f t="shared" si="4"/>
        <v>0.77477125304926464</v>
      </c>
      <c r="P5" s="14"/>
      <c r="Q5" s="14"/>
      <c r="R5" s="14"/>
      <c r="S5" s="14"/>
    </row>
    <row r="6" spans="1:19">
      <c r="A6" s="2" t="s">
        <v>22</v>
      </c>
      <c r="B6" s="4">
        <v>916</v>
      </c>
      <c r="C6" s="9">
        <f>'[1]Buffer Summary'!$F6</f>
        <v>5833.8262500000001</v>
      </c>
      <c r="D6" s="8">
        <f>'[1]Buffer Summary'!$D6</f>
        <v>4667.0609999999997</v>
      </c>
      <c r="E6" s="7">
        <f>'[1]Buffer Summary'!$B6</f>
        <v>3333.6149999999993</v>
      </c>
      <c r="F6" s="13">
        <v>21</v>
      </c>
      <c r="G6" s="14">
        <f t="shared" si="0"/>
        <v>5833.8262500000001</v>
      </c>
      <c r="H6" s="14">
        <f t="shared" si="1"/>
        <v>10500.88725</v>
      </c>
      <c r="I6" s="15">
        <f t="shared" si="2"/>
        <v>13834.50225</v>
      </c>
      <c r="J6" s="16">
        <f>'Wk 2 Analysis '!N6</f>
        <v>3891.1000000000004</v>
      </c>
      <c r="K6" s="14">
        <f>'[2]On-Order'!$H6+'Wk 2 Analysis '!Q6+'Wk 0 Analysis '!Q6+'Wk 1 Analysis '!Q6</f>
        <v>10076</v>
      </c>
      <c r="L6" s="14">
        <f>[2]Consume!$I6</f>
        <v>1257.5</v>
      </c>
      <c r="M6" s="14">
        <f t="shared" si="3"/>
        <v>12709.6</v>
      </c>
      <c r="N6" s="21">
        <f>J6+'New Arrivals'!I6-[2]Consume!$I6</f>
        <v>2633.6000000000004</v>
      </c>
      <c r="O6" s="22">
        <f t="shared" si="4"/>
        <v>0.91868863587050997</v>
      </c>
      <c r="P6" s="14"/>
      <c r="Q6" s="14"/>
      <c r="R6" s="14"/>
      <c r="S6" s="14"/>
    </row>
    <row r="7" spans="1:19">
      <c r="A7" s="2" t="s">
        <v>23</v>
      </c>
      <c r="B7" s="4">
        <v>300</v>
      </c>
      <c r="C7" s="9">
        <f>'[1]Buffer Summary'!$F7</f>
        <v>1105.12941</v>
      </c>
      <c r="D7" s="8">
        <f>'[1]Buffer Summary'!$D7</f>
        <v>884.10352799999998</v>
      </c>
      <c r="E7" s="7">
        <f>'[1]Buffer Summary'!$B7</f>
        <v>631.50251999999989</v>
      </c>
      <c r="F7" s="13">
        <v>21</v>
      </c>
      <c r="G7" s="14">
        <f t="shared" si="0"/>
        <v>1105.12941</v>
      </c>
      <c r="H7" s="14">
        <f t="shared" si="1"/>
        <v>1989.2329380000001</v>
      </c>
      <c r="I7" s="15">
        <f t="shared" si="2"/>
        <v>2620.7354580000001</v>
      </c>
      <c r="J7" s="16">
        <f>'Wk 2 Analysis '!N7</f>
        <v>1171.6999999999998</v>
      </c>
      <c r="K7" s="14">
        <f>'[2]On-Order'!$H7+'Wk 2 Analysis '!Q7+'Wk 0 Analysis '!Q7+'Wk 1 Analysis '!Q7</f>
        <v>1200</v>
      </c>
      <c r="L7" s="14">
        <f>[2]Consume!$I7</f>
        <v>203.8</v>
      </c>
      <c r="M7" s="14">
        <f t="shared" si="3"/>
        <v>2167.8999999999996</v>
      </c>
      <c r="N7" s="21">
        <f>J7+'New Arrivals'!I7-[2]Consume!$I7</f>
        <v>967.89999999999986</v>
      </c>
      <c r="O7" s="22">
        <f t="shared" si="4"/>
        <v>0.82721054251481785</v>
      </c>
      <c r="P7" s="14"/>
      <c r="Q7" s="14"/>
      <c r="R7" s="14"/>
      <c r="S7" s="14"/>
    </row>
    <row r="8" spans="1:19">
      <c r="A8" s="3" t="s">
        <v>24</v>
      </c>
      <c r="B8" s="4">
        <v>700</v>
      </c>
      <c r="C8" s="9">
        <f>'[1]Buffer Summary'!$F8</f>
        <v>14594.65</v>
      </c>
      <c r="D8" s="8">
        <f>'[1]Buffer Summary'!$D8</f>
        <v>25019.4</v>
      </c>
      <c r="E8" s="7">
        <f>'[1]Buffer Summary'!$B8</f>
        <v>8339.7999999999993</v>
      </c>
      <c r="F8" s="13">
        <v>21</v>
      </c>
      <c r="G8" s="14">
        <f t="shared" si="0"/>
        <v>14594.65</v>
      </c>
      <c r="H8" s="14">
        <f t="shared" si="1"/>
        <v>39614.050000000003</v>
      </c>
      <c r="I8" s="15">
        <f t="shared" si="2"/>
        <v>47953.850000000006</v>
      </c>
      <c r="J8" s="16">
        <f>'Wk 2 Analysis '!N8</f>
        <v>-2999</v>
      </c>
      <c r="K8" s="14">
        <f>'[2]On-Order'!$H8+'Wk 2 Analysis '!Q8+'Wk 0 Analysis '!Q8+'Wk 1 Analysis '!Q8</f>
        <v>51100</v>
      </c>
      <c r="L8" s="14">
        <f>[2]Consume!$I8</f>
        <v>2100</v>
      </c>
      <c r="M8" s="14">
        <f t="shared" si="3"/>
        <v>46001</v>
      </c>
      <c r="N8" s="21">
        <f>J8+'New Arrivals'!I8-[2]Consume!$I8</f>
        <v>18001</v>
      </c>
      <c r="O8" s="22">
        <f t="shared" si="4"/>
        <v>0.95927647102370284</v>
      </c>
      <c r="P8" s="14"/>
      <c r="Q8" s="14"/>
      <c r="R8" s="14"/>
      <c r="S8" s="32"/>
    </row>
    <row r="9" spans="1:19">
      <c r="A9" s="3" t="s">
        <v>25</v>
      </c>
      <c r="B9" s="4">
        <v>850</v>
      </c>
      <c r="C9" s="9">
        <f>'[1]Buffer Summary'!$F9</f>
        <v>9705.8630864999996</v>
      </c>
      <c r="D9" s="8">
        <f>'[1]Buffer Summary'!$D9</f>
        <v>7764.6904691999998</v>
      </c>
      <c r="E9" s="7">
        <f>'[1]Buffer Summary'!$B9</f>
        <v>5546.2074779999994</v>
      </c>
      <c r="F9" s="13">
        <v>21</v>
      </c>
      <c r="G9" s="14">
        <f t="shared" si="0"/>
        <v>9705.8630864999996</v>
      </c>
      <c r="H9" s="14">
        <f t="shared" si="1"/>
        <v>17470.5535557</v>
      </c>
      <c r="I9" s="15">
        <f t="shared" si="2"/>
        <v>23016.761033700001</v>
      </c>
      <c r="J9" s="16">
        <f>'Wk 2 Analysis '!N9</f>
        <v>7921.4999999999991</v>
      </c>
      <c r="K9" s="14">
        <f>'[2]On-Order'!$H9+'Wk 2 Analysis '!Q9+'Wk 0 Analysis '!Q9+'Wk 1 Analysis '!Q9</f>
        <v>15300</v>
      </c>
      <c r="L9" s="14">
        <f>[2]Consume!$I9</f>
        <v>1812.5</v>
      </c>
      <c r="M9" s="14">
        <f t="shared" si="3"/>
        <v>21409</v>
      </c>
      <c r="N9" s="21">
        <f>J9+'New Arrivals'!I9-[2]Consume!$I9</f>
        <v>6108.9999999999991</v>
      </c>
      <c r="O9" s="22">
        <f t="shared" si="4"/>
        <v>0.93014825016665048</v>
      </c>
      <c r="P9" s="14"/>
      <c r="Q9" s="14"/>
      <c r="R9" s="14"/>
      <c r="S9" s="32"/>
    </row>
    <row r="10" spans="1:19">
      <c r="A10" s="3" t="s">
        <v>26</v>
      </c>
      <c r="B10" s="5">
        <v>6272</v>
      </c>
      <c r="C10" s="9">
        <f>'[1]Buffer Summary'!$F10</f>
        <v>10976</v>
      </c>
      <c r="D10" s="8">
        <f>'[1]Buffer Summary'!$D10</f>
        <v>876.23199999999997</v>
      </c>
      <c r="E10" s="7">
        <f>'[1]Buffer Summary'!$B10</f>
        <v>6272</v>
      </c>
      <c r="F10" s="13">
        <v>21</v>
      </c>
      <c r="G10" s="14">
        <f t="shared" si="0"/>
        <v>10976</v>
      </c>
      <c r="H10" s="14">
        <f t="shared" si="1"/>
        <v>11852.232</v>
      </c>
      <c r="I10" s="15">
        <f t="shared" si="2"/>
        <v>18124.232</v>
      </c>
      <c r="J10" s="16">
        <f>'Wk 2 Analysis '!N10</f>
        <v>18723</v>
      </c>
      <c r="K10" s="14">
        <f>'[2]On-Order'!$H10+'Wk 2 Analysis '!Q10+'Wk 0 Analysis '!Q10+'Wk 1 Analysis '!Q10</f>
        <v>0</v>
      </c>
      <c r="L10" s="14">
        <f>[2]Consume!$I10</f>
        <v>165</v>
      </c>
      <c r="M10" s="14">
        <f t="shared" si="3"/>
        <v>18558</v>
      </c>
      <c r="N10" s="21">
        <f>J10+'New Arrivals'!I10-[2]Consume!$I10</f>
        <v>18558</v>
      </c>
      <c r="O10" s="22">
        <f t="shared" si="4"/>
        <v>1.0239330416869525</v>
      </c>
      <c r="P10" s="14"/>
      <c r="Q10" s="14"/>
      <c r="R10" s="14"/>
      <c r="S10" s="32"/>
    </row>
    <row r="11" spans="1:19">
      <c r="A11" s="3" t="s">
        <v>28</v>
      </c>
      <c r="B11" s="5">
        <v>6400</v>
      </c>
      <c r="C11" s="9">
        <f>'[1]Buffer Summary'!$F11</f>
        <v>11200</v>
      </c>
      <c r="D11" s="8">
        <f>'[1]Buffer Summary'!$D11</f>
        <v>882.952</v>
      </c>
      <c r="E11" s="7">
        <f>'[1]Buffer Summary'!$B11</f>
        <v>6400</v>
      </c>
      <c r="F11" s="13">
        <v>21</v>
      </c>
      <c r="G11" s="14">
        <f t="shared" si="0"/>
        <v>11200</v>
      </c>
      <c r="H11" s="14">
        <f t="shared" si="1"/>
        <v>12082.951999999999</v>
      </c>
      <c r="I11" s="15">
        <f t="shared" si="2"/>
        <v>18482.951999999997</v>
      </c>
      <c r="J11" s="16">
        <f>'Wk 2 Analysis '!N11</f>
        <v>19632</v>
      </c>
      <c r="K11" s="14">
        <f>'[2]On-Order'!$H11+'Wk 2 Analysis '!Q11+'Wk 0 Analysis '!Q11+'Wk 1 Analysis '!Q11</f>
        <v>0</v>
      </c>
      <c r="L11" s="14">
        <f>[2]Consume!$I11</f>
        <v>165</v>
      </c>
      <c r="M11" s="14">
        <f t="shared" si="3"/>
        <v>19467</v>
      </c>
      <c r="N11" s="21">
        <f>J11+'New Arrivals'!I11-[2]Consume!$I11</f>
        <v>19467</v>
      </c>
      <c r="O11" s="22">
        <f t="shared" si="4"/>
        <v>1.0532408459427911</v>
      </c>
      <c r="P11" s="14"/>
      <c r="Q11" s="14"/>
      <c r="R11" s="14"/>
      <c r="S11" s="14"/>
    </row>
    <row r="12" spans="1:19">
      <c r="A12" s="3" t="s">
        <v>29</v>
      </c>
      <c r="B12" s="5">
        <v>50000</v>
      </c>
      <c r="C12" s="9">
        <f>'[1]Buffer Summary'!$F12</f>
        <v>87500</v>
      </c>
      <c r="D12" s="8">
        <f>'[1]Buffer Summary'!$D12</f>
        <v>9435.8879999999972</v>
      </c>
      <c r="E12" s="7">
        <f>'[1]Buffer Summary'!$B12</f>
        <v>50000</v>
      </c>
      <c r="F12" s="13">
        <v>21</v>
      </c>
      <c r="G12" s="14">
        <f t="shared" si="0"/>
        <v>87500</v>
      </c>
      <c r="H12" s="14">
        <f t="shared" si="1"/>
        <v>96935.887999999992</v>
      </c>
      <c r="I12" s="15">
        <f t="shared" si="2"/>
        <v>146935.88799999998</v>
      </c>
      <c r="J12" s="16">
        <f>'Wk 2 Analysis '!N12</f>
        <v>157174</v>
      </c>
      <c r="K12" s="14">
        <f>'[2]On-Order'!$H12+'Wk 2 Analysis '!Q12+'Wk 0 Analysis '!Q12+'Wk 1 Analysis '!Q12</f>
        <v>0</v>
      </c>
      <c r="L12" s="14">
        <f>[2]Consume!$I12</f>
        <v>1287</v>
      </c>
      <c r="M12" s="14">
        <f t="shared" si="3"/>
        <v>155887</v>
      </c>
      <c r="N12" s="21">
        <f>J12+'New Arrivals'!I12-[2]Consume!$I12</f>
        <v>155887</v>
      </c>
      <c r="O12" s="22">
        <f t="shared" si="4"/>
        <v>1.0609184871159592</v>
      </c>
      <c r="P12" s="14"/>
      <c r="Q12" s="14"/>
      <c r="R12" s="14"/>
      <c r="S12" s="14"/>
    </row>
    <row r="13" spans="1:19">
      <c r="A13" s="3" t="s">
        <v>30</v>
      </c>
      <c r="B13" s="4">
        <v>450</v>
      </c>
      <c r="C13" s="9">
        <f>'[1]Buffer Summary'!$F13</f>
        <v>22731.4986899</v>
      </c>
      <c r="D13" s="8">
        <f>'[1]Buffer Summary'!$D13</f>
        <v>18185.19895192</v>
      </c>
      <c r="E13" s="7">
        <f>'[1]Buffer Summary'!$B13</f>
        <v>12989.427822799998</v>
      </c>
      <c r="F13" s="13">
        <v>21</v>
      </c>
      <c r="G13" s="14">
        <f t="shared" si="0"/>
        <v>22731.4986899</v>
      </c>
      <c r="H13" s="14">
        <f t="shared" si="1"/>
        <v>40916.697641819999</v>
      </c>
      <c r="I13" s="15">
        <f t="shared" si="2"/>
        <v>53906.125464619996</v>
      </c>
      <c r="J13" s="16">
        <f>'Wk 2 Analysis '!N13</f>
        <v>1977.4</v>
      </c>
      <c r="K13" s="14">
        <f>'[2]On-Order'!$H13+'Wk 2 Analysis '!Q13+'Wk 0 Analysis '!Q13+'Wk 1 Analysis '!Q13</f>
        <v>29700</v>
      </c>
      <c r="L13" s="14">
        <f>[2]Consume!$I13</f>
        <v>4116.5</v>
      </c>
      <c r="M13" s="14">
        <f t="shared" si="3"/>
        <v>27560.9</v>
      </c>
      <c r="N13" s="21">
        <f>J13+'New Arrivals'!I13-[2]Consume!$I13</f>
        <v>27560.9</v>
      </c>
      <c r="O13" s="22">
        <f t="shared" si="4"/>
        <v>0.5112758478271443</v>
      </c>
      <c r="P13" s="23">
        <f t="shared" ref="P13:P14" si="5">I13-M13</f>
        <v>26345.225464619994</v>
      </c>
      <c r="Q13" s="23">
        <f>B13*3</f>
        <v>1350</v>
      </c>
      <c r="R13" s="23" t="s">
        <v>50</v>
      </c>
      <c r="S13" s="24">
        <f t="shared" ref="S13:S14" si="6">P13/Q13</f>
        <v>19.514981825644441</v>
      </c>
    </row>
    <row r="14" spans="1:19">
      <c r="A14" s="3" t="s">
        <v>31</v>
      </c>
      <c r="B14" s="4">
        <v>750</v>
      </c>
      <c r="C14" s="9">
        <f>'[1]Buffer Summary'!$F14</f>
        <v>4069.1037274999994</v>
      </c>
      <c r="D14" s="8">
        <f>'[1]Buffer Summary'!$D14</f>
        <v>3255.2829820000006</v>
      </c>
      <c r="E14" s="7">
        <f>'[1]Buffer Summary'!$B14</f>
        <v>2325.2021299999997</v>
      </c>
      <c r="F14" s="13">
        <v>21</v>
      </c>
      <c r="G14" s="14">
        <f t="shared" si="0"/>
        <v>4069.1037274999994</v>
      </c>
      <c r="H14" s="14">
        <f t="shared" si="1"/>
        <v>7324.3867095000005</v>
      </c>
      <c r="I14" s="15">
        <f t="shared" si="2"/>
        <v>9649.5888395000002</v>
      </c>
      <c r="J14" s="16">
        <f>'Wk 2 Analysis '!N14</f>
        <v>3796.6</v>
      </c>
      <c r="K14" s="14">
        <f>'[2]On-Order'!$H14+'Wk 2 Analysis '!Q14+'Wk 0 Analysis '!Q14+'Wk 1 Analysis '!Q14</f>
        <v>0</v>
      </c>
      <c r="L14" s="14">
        <f>[2]Consume!$I14</f>
        <v>636</v>
      </c>
      <c r="M14" s="14">
        <f t="shared" si="3"/>
        <v>3160.6</v>
      </c>
      <c r="N14" s="21">
        <f>J14+'New Arrivals'!I14-[2]Consume!$I14</f>
        <v>3160.6</v>
      </c>
      <c r="O14" s="22">
        <f t="shared" si="4"/>
        <v>0.32753727154283274</v>
      </c>
      <c r="P14" s="23">
        <f t="shared" si="5"/>
        <v>6488.9888394999998</v>
      </c>
      <c r="Q14" s="23">
        <f>B14*3</f>
        <v>2250</v>
      </c>
      <c r="R14" s="23" t="s">
        <v>50</v>
      </c>
      <c r="S14" s="24">
        <f t="shared" si="6"/>
        <v>2.8839950397777776</v>
      </c>
    </row>
    <row r="15" spans="1:19">
      <c r="A15" s="3" t="s">
        <v>32</v>
      </c>
      <c r="B15" s="4">
        <v>700</v>
      </c>
      <c r="C15" s="9">
        <f>'[1]Buffer Summary'!$F15</f>
        <v>1666.2783549999999</v>
      </c>
      <c r="D15" s="8">
        <f>'[1]Buffer Summary'!$D15</f>
        <v>1307.794124</v>
      </c>
      <c r="E15" s="7">
        <f>'[1]Buffer Summary'!$B15</f>
        <v>952.15905999999995</v>
      </c>
      <c r="F15" s="13">
        <v>21</v>
      </c>
      <c r="G15" s="14">
        <f t="shared" si="0"/>
        <v>1666.2783549999999</v>
      </c>
      <c r="H15" s="14">
        <f t="shared" si="1"/>
        <v>2974.0724789999999</v>
      </c>
      <c r="I15" s="15">
        <f t="shared" si="2"/>
        <v>3926.2315389999999</v>
      </c>
      <c r="J15" s="16">
        <f>'Wk 2 Analysis '!N15</f>
        <v>1118.3000000000002</v>
      </c>
      <c r="K15" s="14">
        <f>'[2]On-Order'!$H15+'Wk 2 Analysis '!Q15+'Wk 0 Analysis '!Q15+'Wk 1 Analysis '!Q15</f>
        <v>2100</v>
      </c>
      <c r="L15" s="14">
        <f>[2]Consume!$I15</f>
        <v>206.4</v>
      </c>
      <c r="M15" s="14">
        <f t="shared" si="3"/>
        <v>3011.9</v>
      </c>
      <c r="N15" s="21">
        <f>J15+'New Arrivals'!I15-[2]Consume!$I15</f>
        <v>3011.9</v>
      </c>
      <c r="O15" s="22">
        <f t="shared" si="4"/>
        <v>0.76712235895469438</v>
      </c>
      <c r="P15" s="14"/>
      <c r="Q15" s="14"/>
      <c r="R15" s="14"/>
      <c r="S15" s="32"/>
    </row>
    <row r="16" spans="1:19">
      <c r="A16" s="3" t="s">
        <v>33</v>
      </c>
      <c r="B16" s="4">
        <v>750</v>
      </c>
      <c r="C16" s="9">
        <f>'[1]Buffer Summary'!$F16</f>
        <v>2259.6644349999997</v>
      </c>
      <c r="D16" s="8">
        <f>'[1]Buffer Summary'!$D16</f>
        <v>1807.7315480000002</v>
      </c>
      <c r="E16" s="7">
        <f>'[1]Buffer Summary'!$B16</f>
        <v>1291.2368199999999</v>
      </c>
      <c r="F16" s="13">
        <v>21</v>
      </c>
      <c r="G16" s="14">
        <f t="shared" si="0"/>
        <v>2259.6644349999997</v>
      </c>
      <c r="H16" s="14">
        <f t="shared" si="1"/>
        <v>4067.3959829999999</v>
      </c>
      <c r="I16" s="15">
        <f t="shared" si="2"/>
        <v>5358.6328029999995</v>
      </c>
      <c r="J16" s="16">
        <f>'Wk 2 Analysis '!N16</f>
        <v>5217.2999999999993</v>
      </c>
      <c r="K16" s="14">
        <f>'[2]On-Order'!$H16+'Wk 2 Analysis '!Q16+'Wk 0 Analysis '!Q16+'Wk 1 Analysis '!Q16</f>
        <v>0</v>
      </c>
      <c r="L16" s="14">
        <f>[2]Consume!$I16</f>
        <v>340.8</v>
      </c>
      <c r="M16" s="14">
        <f t="shared" si="3"/>
        <v>4876.4999999999991</v>
      </c>
      <c r="N16" s="21">
        <f>J16+'New Arrivals'!I16-[2]Consume!$I16</f>
        <v>4876.4999999999991</v>
      </c>
      <c r="O16" s="22">
        <f t="shared" si="4"/>
        <v>0.9100269003821122</v>
      </c>
      <c r="P16" s="14"/>
      <c r="Q16" s="14"/>
      <c r="R16" s="14"/>
      <c r="S16" s="14"/>
    </row>
    <row r="17" spans="1:19">
      <c r="A17" s="3" t="s">
        <v>34</v>
      </c>
      <c r="B17" s="5">
        <v>2475</v>
      </c>
      <c r="C17" s="9">
        <f>'[1]Buffer Summary'!$F17</f>
        <v>29302.883610000001</v>
      </c>
      <c r="D17" s="8">
        <f>'[1]Buffer Summary'!$D17</f>
        <v>23442.306887999999</v>
      </c>
      <c r="E17" s="7">
        <f>'[1]Buffer Summary'!$B17</f>
        <v>16744.504919999999</v>
      </c>
      <c r="F17" s="13">
        <v>21</v>
      </c>
      <c r="G17" s="14">
        <f t="shared" si="0"/>
        <v>29302.883610000001</v>
      </c>
      <c r="H17" s="14">
        <f t="shared" si="1"/>
        <v>52745.190497999996</v>
      </c>
      <c r="I17" s="15">
        <f t="shared" si="2"/>
        <v>69489.695417999988</v>
      </c>
      <c r="J17" s="16">
        <f>'Wk 2 Analysis '!N17</f>
        <v>10636.199999999997</v>
      </c>
      <c r="K17" s="14">
        <f>'[2]On-Order'!$H17+'Wk 2 Analysis '!Q17+'Wk 0 Analysis '!Q17+'Wk 1 Analysis '!Q17</f>
        <v>34650</v>
      </c>
      <c r="L17" s="14">
        <f>[2]Consume!$I17</f>
        <v>4087.1</v>
      </c>
      <c r="M17" s="14">
        <f t="shared" si="3"/>
        <v>41199.1</v>
      </c>
      <c r="N17" s="21">
        <f>J17+'New Arrivals'!I17-[2]Consume!$I17</f>
        <v>46149.1</v>
      </c>
      <c r="O17" s="22">
        <f t="shared" si="4"/>
        <v>0.59288071061724867</v>
      </c>
      <c r="P17" s="23">
        <f t="shared" ref="P17" si="7">I17-M17</f>
        <v>28290.59541799999</v>
      </c>
      <c r="Q17" s="23">
        <f>B17*3</f>
        <v>7425</v>
      </c>
      <c r="R17" s="23" t="s">
        <v>50</v>
      </c>
      <c r="S17" s="24">
        <f t="shared" ref="S17" si="8">P17/Q17</f>
        <v>3.8101812010774396</v>
      </c>
    </row>
    <row r="18" spans="1:19">
      <c r="A18" s="3" t="s">
        <v>35</v>
      </c>
      <c r="B18" s="5">
        <v>1000</v>
      </c>
      <c r="C18" s="9">
        <f>'[1]Buffer Summary'!$F18</f>
        <v>4449.3902600000001</v>
      </c>
      <c r="D18" s="8">
        <f>'[1]Buffer Summary'!$D18</f>
        <v>3559.5122080000001</v>
      </c>
      <c r="E18" s="7">
        <f>'[1]Buffer Summary'!$B18</f>
        <v>2542.5087199999994</v>
      </c>
      <c r="F18" s="13">
        <v>21</v>
      </c>
      <c r="G18" s="14">
        <f t="shared" si="0"/>
        <v>4449.3902600000001</v>
      </c>
      <c r="H18" s="14">
        <f t="shared" si="1"/>
        <v>8008.9024680000002</v>
      </c>
      <c r="I18" s="15">
        <f t="shared" si="2"/>
        <v>10551.411188</v>
      </c>
      <c r="J18" s="16">
        <f>'Wk 2 Analysis '!N18</f>
        <v>2791.3000000000006</v>
      </c>
      <c r="K18" s="14">
        <f>'[2]On-Order'!$H18+'Wk 2 Analysis '!Q18+'Wk 0 Analysis '!Q18+'Wk 1 Analysis '!Q18</f>
        <v>11000</v>
      </c>
      <c r="L18" s="14">
        <f>[2]Consume!$I18</f>
        <v>14.1</v>
      </c>
      <c r="M18" s="14">
        <f t="shared" si="3"/>
        <v>13777.2</v>
      </c>
      <c r="N18" s="21">
        <f>J18+'New Arrivals'!I18-[2]Consume!$I18</f>
        <v>2777.2000000000007</v>
      </c>
      <c r="O18" s="22">
        <f t="shared" si="4"/>
        <v>1.3057210788703462</v>
      </c>
      <c r="P18" s="14"/>
      <c r="Q18" s="14"/>
      <c r="R18" s="14"/>
      <c r="S18" s="32"/>
    </row>
    <row r="19" spans="1:19">
      <c r="A19" s="3" t="s">
        <v>36</v>
      </c>
      <c r="B19" s="4">
        <v>20</v>
      </c>
      <c r="C19" s="9">
        <f>'[1]Buffer Summary'!$F19</f>
        <v>35.079274999999996</v>
      </c>
      <c r="D19" s="8">
        <f>'[1]Buffer Summary'!$D19</f>
        <v>37.999866666666662</v>
      </c>
      <c r="E19" s="7">
        <f>'[1]Buffer Summary'!$B19</f>
        <v>20.045300000000001</v>
      </c>
      <c r="F19" s="13">
        <v>44</v>
      </c>
      <c r="G19" s="14">
        <f t="shared" si="0"/>
        <v>35.079274999999996</v>
      </c>
      <c r="H19" s="14">
        <f t="shared" si="1"/>
        <v>73.079141666666658</v>
      </c>
      <c r="I19" s="15">
        <f t="shared" si="2"/>
        <v>93.124441666666655</v>
      </c>
      <c r="J19" s="16">
        <f>'Wk 2 Analysis '!N19</f>
        <v>104.5</v>
      </c>
      <c r="K19" s="14">
        <f>'[2]On-Order'!$H19+'Wk 2 Analysis '!Q19+'Wk 0 Analysis '!Q19+'Wk 1 Analysis '!Q19</f>
        <v>0</v>
      </c>
      <c r="L19" s="14">
        <f>[2]Consume!$I19</f>
        <v>7.8</v>
      </c>
      <c r="M19" s="14">
        <f t="shared" si="3"/>
        <v>96.7</v>
      </c>
      <c r="N19" s="21">
        <f>J19+'New Arrivals'!I19-[2]Consume!$I19</f>
        <v>96.7</v>
      </c>
      <c r="O19" s="22">
        <f t="shared" si="4"/>
        <v>1.0383954874718266</v>
      </c>
      <c r="P19" s="14"/>
      <c r="Q19" s="14"/>
      <c r="R19" s="14"/>
      <c r="S19" s="32"/>
    </row>
    <row r="20" spans="1:19">
      <c r="A20" s="3" t="s">
        <v>37</v>
      </c>
      <c r="B20" s="4">
        <v>15</v>
      </c>
      <c r="C20" s="9">
        <f>'[1]Buffer Summary'!$F20</f>
        <v>51.674885500000002</v>
      </c>
      <c r="D20" s="8">
        <f>'[1]Buffer Summary'!$D20</f>
        <v>41.339908400000006</v>
      </c>
      <c r="E20" s="7">
        <f>'[1]Buffer Summary'!$B20</f>
        <v>29.528506000000004</v>
      </c>
      <c r="F20" s="13">
        <v>21</v>
      </c>
      <c r="G20" s="14">
        <f t="shared" si="0"/>
        <v>51.674885500000002</v>
      </c>
      <c r="H20" s="14">
        <f t="shared" si="1"/>
        <v>93.014793900000001</v>
      </c>
      <c r="I20" s="15">
        <f t="shared" si="2"/>
        <v>122.54329990000001</v>
      </c>
      <c r="J20" s="16">
        <f>'Wk 2 Analysis '!N20</f>
        <v>106.50000000000001</v>
      </c>
      <c r="K20" s="14">
        <f>'[2]On-Order'!$H20+'Wk 2 Analysis '!Q20+'Wk 0 Analysis '!Q20+'Wk 1 Analysis '!Q20</f>
        <v>0</v>
      </c>
      <c r="L20" s="14">
        <f>[2]Consume!$I20</f>
        <v>8.1</v>
      </c>
      <c r="M20" s="14">
        <f t="shared" si="3"/>
        <v>98.40000000000002</v>
      </c>
      <c r="N20" s="21">
        <f>J20+'New Arrivals'!I20-[2]Consume!$I20</f>
        <v>98.40000000000002</v>
      </c>
      <c r="O20" s="22">
        <f t="shared" si="4"/>
        <v>0.80298147740674652</v>
      </c>
      <c r="P20" s="14"/>
      <c r="Q20" s="14"/>
      <c r="R20" s="14"/>
      <c r="S20" s="32"/>
    </row>
    <row r="21" spans="1:19">
      <c r="A21" s="3" t="s">
        <v>38</v>
      </c>
      <c r="B21" s="4">
        <v>20</v>
      </c>
      <c r="C21" s="9">
        <f>'[1]Buffer Summary'!$F21</f>
        <v>78.086971199999979</v>
      </c>
      <c r="D21" s="8">
        <f>'[1]Buffer Summary'!$D21</f>
        <v>130.88863743999997</v>
      </c>
      <c r="E21" s="7">
        <f>'[1]Buffer Summary'!$B21</f>
        <v>44.621126399999994</v>
      </c>
      <c r="F21" s="13">
        <v>44</v>
      </c>
      <c r="G21" s="14">
        <f t="shared" si="0"/>
        <v>78.086971199999979</v>
      </c>
      <c r="H21" s="14">
        <f t="shared" si="1"/>
        <v>208.97560863999996</v>
      </c>
      <c r="I21" s="15">
        <f t="shared" si="2"/>
        <v>253.59673503999994</v>
      </c>
      <c r="J21" s="16">
        <f>'Wk 2 Analysis '!N21</f>
        <v>158.20000000000002</v>
      </c>
      <c r="K21" s="14">
        <f>'[2]On-Order'!$H21+'Wk 2 Analysis '!Q21+'Wk 0 Analysis '!Q21+'Wk 1 Analysis '!Q21</f>
        <v>0</v>
      </c>
      <c r="L21" s="14">
        <f>[2]Consume!$I21</f>
        <v>24.8</v>
      </c>
      <c r="M21" s="14">
        <f t="shared" si="3"/>
        <v>133.4</v>
      </c>
      <c r="N21" s="21">
        <f>J21+'New Arrivals'!I21-[2]Consume!$I21</f>
        <v>133.4</v>
      </c>
      <c r="O21" s="22">
        <f t="shared" si="4"/>
        <v>0.52603200896477931</v>
      </c>
      <c r="P21" s="23">
        <f t="shared" ref="P21" si="9">I21-M21</f>
        <v>120.19673503999994</v>
      </c>
      <c r="Q21" s="23">
        <f>B21*3</f>
        <v>60</v>
      </c>
      <c r="R21" s="23" t="s">
        <v>50</v>
      </c>
      <c r="S21" s="24">
        <f t="shared" ref="S21" si="10">P21/Q21</f>
        <v>2.0032789173333323</v>
      </c>
    </row>
    <row r="22" spans="1:19">
      <c r="A22" s="3" t="s">
        <v>39</v>
      </c>
      <c r="B22" s="5">
        <v>1000</v>
      </c>
      <c r="C22" s="9">
        <f>'[1]Buffer Summary'!$F22</f>
        <v>2019.8313333333331</v>
      </c>
      <c r="D22" s="8">
        <f>'[1]Buffer Summary'!$D22</f>
        <v>2912.6439999999998</v>
      </c>
      <c r="E22" s="7">
        <f>'[1]Buffer Summary'!$B22</f>
        <v>1154.1893333333333</v>
      </c>
      <c r="F22" s="13">
        <v>21</v>
      </c>
      <c r="G22" s="14">
        <f t="shared" si="0"/>
        <v>2019.8313333333331</v>
      </c>
      <c r="H22" s="14">
        <f t="shared" si="1"/>
        <v>4932.4753333333329</v>
      </c>
      <c r="I22" s="15">
        <f t="shared" si="2"/>
        <v>6086.6646666666657</v>
      </c>
      <c r="J22" s="16">
        <f>'Wk 2 Analysis '!N22</f>
        <v>2353</v>
      </c>
      <c r="K22" s="14">
        <f>'[2]On-Order'!$H22+'Wk 2 Analysis '!Q22+'Wk 0 Analysis '!Q22+'Wk 1 Analysis '!Q22</f>
        <v>4000</v>
      </c>
      <c r="L22" s="14">
        <f>[2]Consume!$I22</f>
        <v>2400</v>
      </c>
      <c r="M22" s="14">
        <f t="shared" si="3"/>
        <v>3953</v>
      </c>
      <c r="N22" s="21">
        <f>J22+'New Arrivals'!I22-[2]Consume!$I22</f>
        <v>-47</v>
      </c>
      <c r="O22" s="22">
        <f t="shared" si="4"/>
        <v>0.64945256827576181</v>
      </c>
      <c r="P22" s="23">
        <f t="shared" ref="P22" si="11">I22-M22</f>
        <v>2133.6646666666657</v>
      </c>
      <c r="Q22" s="23">
        <f>B22*5</f>
        <v>5000</v>
      </c>
      <c r="R22" s="23" t="s">
        <v>50</v>
      </c>
      <c r="S22" s="24">
        <f t="shared" ref="S22" si="12">P22/Q22</f>
        <v>0.42673293333333312</v>
      </c>
    </row>
    <row r="23" spans="1:19">
      <c r="A23" s="3" t="s">
        <v>40</v>
      </c>
      <c r="B23" s="4">
        <v>990</v>
      </c>
      <c r="C23" s="9">
        <f>'[1]Buffer Summary'!$F23</f>
        <v>60066.551999999989</v>
      </c>
      <c r="D23" s="8">
        <f>'[1]Buffer Summary'!$D23</f>
        <v>13348.122666666666</v>
      </c>
      <c r="E23" s="7">
        <f>'[1]Buffer Summary'!$B23</f>
        <v>40044.367999999995</v>
      </c>
      <c r="F23" s="13">
        <v>14</v>
      </c>
      <c r="G23" s="14">
        <f t="shared" si="0"/>
        <v>60066.551999999989</v>
      </c>
      <c r="H23" s="14">
        <f t="shared" si="1"/>
        <v>73414.674666666659</v>
      </c>
      <c r="I23" s="15">
        <f t="shared" si="2"/>
        <v>113459.04266666665</v>
      </c>
      <c r="J23" s="16">
        <f>'Wk 2 Analysis '!N23</f>
        <v>104912</v>
      </c>
      <c r="K23" s="14">
        <f>'[2]On-Order'!$H23+'Wk 2 Analysis '!Q23+'Wk 0 Analysis '!Q23+'Wk 1 Analysis '!Q23</f>
        <v>25170</v>
      </c>
      <c r="L23" s="14">
        <f>[2]Consume!$I23</f>
        <v>3743</v>
      </c>
      <c r="M23" s="14">
        <f t="shared" si="3"/>
        <v>126339</v>
      </c>
      <c r="N23" s="21">
        <f>J23+'New Arrivals'!I23-[2]Consume!$I23</f>
        <v>101169</v>
      </c>
      <c r="O23" s="22">
        <f t="shared" si="4"/>
        <v>1.1135207651202699</v>
      </c>
      <c r="P23" s="14"/>
      <c r="Q23" s="14"/>
      <c r="R23" s="14"/>
      <c r="S23" s="32"/>
    </row>
    <row r="24" spans="1:19">
      <c r="A24" s="3" t="s">
        <v>41</v>
      </c>
      <c r="B24" s="4">
        <v>990</v>
      </c>
      <c r="C24" s="9">
        <f>'[1]Buffer Summary'!$F24</f>
        <v>107959.068</v>
      </c>
      <c r="D24" s="8">
        <f>'[1]Buffer Summary'!$D24</f>
        <v>23990.904000000002</v>
      </c>
      <c r="E24" s="7">
        <f>'[1]Buffer Summary'!$B24</f>
        <v>71972.712</v>
      </c>
      <c r="F24" s="13">
        <v>14</v>
      </c>
      <c r="G24" s="14">
        <f t="shared" si="0"/>
        <v>107959.068</v>
      </c>
      <c r="H24" s="14">
        <f t="shared" si="1"/>
        <v>131949.97200000001</v>
      </c>
      <c r="I24" s="15">
        <f t="shared" si="2"/>
        <v>203922.68400000001</v>
      </c>
      <c r="J24" s="16">
        <f>'Wk 2 Analysis '!N24</f>
        <v>202790</v>
      </c>
      <c r="K24" s="14">
        <f>'[2]On-Order'!$H24+'Wk 2 Analysis '!Q24+'Wk 0 Analysis '!Q24+'Wk 1 Analysis '!Q24</f>
        <v>35910</v>
      </c>
      <c r="L24" s="14">
        <f>[2]Consume!$I24</f>
        <v>5018</v>
      </c>
      <c r="M24" s="14">
        <f t="shared" si="3"/>
        <v>233682</v>
      </c>
      <c r="N24" s="21">
        <f>J24+'New Arrivals'!I24-[2]Consume!$I24</f>
        <v>197772</v>
      </c>
      <c r="O24" s="22">
        <f t="shared" si="4"/>
        <v>1.14593430910315</v>
      </c>
      <c r="P24" s="14"/>
      <c r="Q24" s="14"/>
      <c r="R24" s="14"/>
      <c r="S24" s="32"/>
    </row>
    <row r="25" spans="1:19">
      <c r="A25" s="3" t="s">
        <v>42</v>
      </c>
      <c r="B25" s="4">
        <v>202</v>
      </c>
      <c r="C25" s="9">
        <f>'[1]Buffer Summary'!$F25</f>
        <v>1135.0720919999999</v>
      </c>
      <c r="D25" s="8">
        <f>'[1]Buffer Summary'!$D25</f>
        <v>252.23824266666665</v>
      </c>
      <c r="E25" s="7">
        <f>'[1]Buffer Summary'!$B25</f>
        <v>756.71472799999992</v>
      </c>
      <c r="F25" s="13">
        <v>14</v>
      </c>
      <c r="G25" s="14">
        <f t="shared" si="0"/>
        <v>1135.0720919999999</v>
      </c>
      <c r="H25" s="14">
        <f t="shared" si="1"/>
        <v>1387.3103346666664</v>
      </c>
      <c r="I25" s="15">
        <f t="shared" si="2"/>
        <v>2144.0250626666666</v>
      </c>
      <c r="J25" s="16">
        <f>'Wk 2 Analysis '!N25</f>
        <v>1876.2</v>
      </c>
      <c r="K25" s="14">
        <f>'[2]On-Order'!$H25+'Wk 2 Analysis '!Q25+'Wk 0 Analysis '!Q25+'Wk 1 Analysis '!Q25</f>
        <v>0</v>
      </c>
      <c r="L25" s="14">
        <f>[2]Consume!$I25</f>
        <v>48.5</v>
      </c>
      <c r="M25" s="14">
        <f t="shared" si="3"/>
        <v>1827.7</v>
      </c>
      <c r="N25" s="21">
        <f>J25+'New Arrivals'!I25-[2]Consume!$I25</f>
        <v>1827.7</v>
      </c>
      <c r="O25" s="22">
        <f t="shared" si="4"/>
        <v>0.85246204991968144</v>
      </c>
      <c r="P25" s="14"/>
      <c r="Q25" s="14"/>
      <c r="R25" s="14"/>
      <c r="S25" s="32"/>
    </row>
    <row r="26" spans="1:19">
      <c r="A26" s="3" t="s">
        <v>43</v>
      </c>
      <c r="B26" s="5">
        <v>1300</v>
      </c>
      <c r="C26" s="9">
        <f>'[1]Buffer Summary'!$F26</f>
        <v>16720.871999999996</v>
      </c>
      <c r="D26" s="8">
        <f>'[1]Buffer Summary'!$D26</f>
        <v>5573.6239999999998</v>
      </c>
      <c r="E26" s="7">
        <f>'[1]Buffer Summary'!$B26</f>
        <v>11147.248</v>
      </c>
      <c r="F26" s="13">
        <v>14</v>
      </c>
      <c r="G26" s="14">
        <f t="shared" si="0"/>
        <v>16720.871999999996</v>
      </c>
      <c r="H26" s="14">
        <f t="shared" si="1"/>
        <v>22294.495999999996</v>
      </c>
      <c r="I26" s="15">
        <f t="shared" si="2"/>
        <v>33441.743999999992</v>
      </c>
      <c r="J26" s="16">
        <f>'Wk 2 Analysis '!N26</f>
        <v>14069</v>
      </c>
      <c r="K26" s="14">
        <f>'[2]On-Order'!$H26+'Wk 2 Analysis '!Q26+'Wk 0 Analysis '!Q26+'Wk 1 Analysis '!Q26</f>
        <v>20800</v>
      </c>
      <c r="L26" s="14">
        <f>[2]Consume!$I26</f>
        <v>1835</v>
      </c>
      <c r="M26" s="14">
        <f t="shared" si="3"/>
        <v>33034</v>
      </c>
      <c r="N26" s="21">
        <f>J26+'New Arrivals'!I26-[2]Consume!$I26</f>
        <v>12234</v>
      </c>
      <c r="O26" s="22">
        <f t="shared" si="4"/>
        <v>0.98780733445002178</v>
      </c>
      <c r="P26" s="14"/>
      <c r="Q26" s="14"/>
      <c r="R26" s="14"/>
      <c r="S26" s="32"/>
    </row>
    <row r="27" spans="1:19">
      <c r="A27" s="3" t="s">
        <v>44</v>
      </c>
      <c r="B27" s="5">
        <v>102000</v>
      </c>
      <c r="C27" s="9">
        <f>'[1]Buffer Summary'!$F27</f>
        <v>155361.12</v>
      </c>
      <c r="D27" s="8">
        <f>'[1]Buffer Summary'!$D27</f>
        <v>23897.421333333332</v>
      </c>
      <c r="E27" s="7">
        <f>'[1]Buffer Summary'!$B27</f>
        <v>103574.07999999999</v>
      </c>
      <c r="F27" s="13">
        <v>14</v>
      </c>
      <c r="G27" s="14">
        <f t="shared" si="0"/>
        <v>155361.12</v>
      </c>
      <c r="H27" s="14">
        <f t="shared" si="1"/>
        <v>179258.54133333333</v>
      </c>
      <c r="I27" s="15">
        <f t="shared" si="2"/>
        <v>282832.62133333331</v>
      </c>
      <c r="J27" s="16">
        <f>'Wk 2 Analysis '!N27</f>
        <v>264660</v>
      </c>
      <c r="K27" s="14">
        <f>'[2]On-Order'!$H27+'Wk 2 Analysis '!Q27+'Wk 0 Analysis '!Q27+'Wk 1 Analysis '!Q27</f>
        <v>0</v>
      </c>
      <c r="L27" s="14">
        <f>[2]Consume!$I27</f>
        <v>4384</v>
      </c>
      <c r="M27" s="14">
        <f t="shared" si="3"/>
        <v>260276</v>
      </c>
      <c r="N27" s="21">
        <f>J27+'New Arrivals'!I27-[2]Consume!$I27</f>
        <v>260276</v>
      </c>
      <c r="O27" s="22">
        <f t="shared" si="4"/>
        <v>0.92024745509553818</v>
      </c>
      <c r="P27" s="14"/>
      <c r="Q27" s="14"/>
      <c r="R27" s="14"/>
      <c r="S27" s="32"/>
    </row>
    <row r="28" spans="1:19">
      <c r="A28" s="3" t="s">
        <v>45</v>
      </c>
      <c r="B28" s="5">
        <v>102000</v>
      </c>
      <c r="C28" s="9">
        <f>'[1]Buffer Summary'!$F28</f>
        <v>155281.37599999999</v>
      </c>
      <c r="D28" s="8">
        <f>'[1]Buffer Summary'!$D28</f>
        <v>24017.541333333334</v>
      </c>
      <c r="E28" s="7">
        <f>'[1]Buffer Summary'!$B28</f>
        <v>103520.91733333333</v>
      </c>
      <c r="F28" s="13">
        <v>14</v>
      </c>
      <c r="G28" s="14">
        <f t="shared" si="0"/>
        <v>155281.37599999999</v>
      </c>
      <c r="H28" s="14">
        <f t="shared" si="1"/>
        <v>179298.91733333332</v>
      </c>
      <c r="I28" s="15">
        <f t="shared" si="2"/>
        <v>282819.83466666663</v>
      </c>
      <c r="J28" s="16">
        <f>'Wk 2 Analysis '!N28</f>
        <v>267649</v>
      </c>
      <c r="K28" s="14">
        <f>'[2]On-Order'!$H28+'Wk 2 Analysis '!Q28+'Wk 0 Analysis '!Q28+'Wk 1 Analysis '!Q28</f>
        <v>0</v>
      </c>
      <c r="L28" s="14">
        <f>[2]Consume!$I28</f>
        <v>3998</v>
      </c>
      <c r="M28" s="14">
        <f t="shared" si="3"/>
        <v>263651</v>
      </c>
      <c r="N28" s="21">
        <f>J28+'New Arrivals'!I28-[2]Consume!$I28</f>
        <v>263651</v>
      </c>
      <c r="O28" s="22">
        <f t="shared" si="4"/>
        <v>0.93222245289387451</v>
      </c>
      <c r="P28" s="14"/>
      <c r="Q28" s="14"/>
      <c r="R28" s="14"/>
      <c r="S28" s="32"/>
    </row>
  </sheetData>
  <conditionalFormatting sqref="O3:O28">
    <cfRule type="top10" dxfId="5" priority="2" bottom="1" rank="5"/>
  </conditionalFormatting>
  <conditionalFormatting sqref="N3:N28">
    <cfRule type="cellIs" dxfId="4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B2A87-D04C-414F-A61C-62205E7E4B2F}">
  <dimension ref="A2:S28"/>
  <sheetViews>
    <sheetView topLeftCell="A4" workbookViewId="0">
      <selection activeCell="P26" sqref="P26:S26"/>
    </sheetView>
  </sheetViews>
  <sheetFormatPr defaultRowHeight="15"/>
  <cols>
    <col min="4" max="4" width="11.140625" bestFit="1" customWidth="1"/>
    <col min="5" max="5" width="10.7109375" bestFit="1" customWidth="1"/>
    <col min="6" max="6" width="9.28515625" customWidth="1"/>
    <col min="10" max="10" width="8.28515625" style="17" customWidth="1"/>
    <col min="11" max="11" width="10" customWidth="1"/>
    <col min="12" max="12" width="10.5703125" customWidth="1"/>
    <col min="16" max="18" width="10.28515625" customWidth="1"/>
    <col min="19" max="19" width="10.7109375" customWidth="1"/>
  </cols>
  <sheetData>
    <row r="2" spans="1:19" ht="33">
      <c r="A2" s="1" t="s">
        <v>0</v>
      </c>
      <c r="B2" s="6" t="s">
        <v>1</v>
      </c>
      <c r="C2" s="11" t="s">
        <v>2</v>
      </c>
      <c r="D2" s="10" t="s">
        <v>3</v>
      </c>
      <c r="E2" s="12" t="s">
        <v>4</v>
      </c>
      <c r="F2" s="6" t="s">
        <v>5</v>
      </c>
      <c r="G2" s="6" t="s">
        <v>6</v>
      </c>
      <c r="H2" s="6" t="s">
        <v>7</v>
      </c>
      <c r="I2" s="18" t="s">
        <v>8</v>
      </c>
      <c r="J2" s="19" t="s">
        <v>9</v>
      </c>
      <c r="K2" s="6" t="s">
        <v>10</v>
      </c>
      <c r="L2" s="18" t="s">
        <v>11</v>
      </c>
      <c r="M2" s="20" t="s">
        <v>12</v>
      </c>
      <c r="N2" s="20" t="s">
        <v>13</v>
      </c>
      <c r="O2" s="20" t="s">
        <v>14</v>
      </c>
      <c r="P2" s="20" t="s">
        <v>15</v>
      </c>
      <c r="Q2" s="20" t="s">
        <v>16</v>
      </c>
      <c r="R2" s="20" t="s">
        <v>17</v>
      </c>
      <c r="S2" s="20" t="s">
        <v>18</v>
      </c>
    </row>
    <row r="3" spans="1:19">
      <c r="A3" s="2" t="s">
        <v>19</v>
      </c>
      <c r="B3" s="4">
        <v>850</v>
      </c>
      <c r="C3" s="9">
        <f>'[1]Buffer Summary'!$F3</f>
        <v>9705.8630864999996</v>
      </c>
      <c r="D3" s="8">
        <f>'[1]Buffer Summary'!$D3</f>
        <v>7764.6904691999998</v>
      </c>
      <c r="E3" s="7">
        <f>'[1]Buffer Summary'!$B3</f>
        <v>5546.2074779999994</v>
      </c>
      <c r="F3" s="13">
        <v>21</v>
      </c>
      <c r="G3" s="14">
        <f>C3</f>
        <v>9705.8630864999996</v>
      </c>
      <c r="H3" s="14">
        <f>C3+D3</f>
        <v>17470.5535557</v>
      </c>
      <c r="I3" s="15">
        <f>C3+D3+E3</f>
        <v>23016.761033700001</v>
      </c>
      <c r="J3" s="16">
        <f>'Wk 3 Analysis  '!N3</f>
        <v>6108.9999999999991</v>
      </c>
      <c r="K3" s="14">
        <f>'[2]On-Order'!$I3+'Wk 2 Analysis '!Q3+'Wk 1 Analysis '!Q3+'Wk 3 Analysis  '!Q3</f>
        <v>11900</v>
      </c>
      <c r="L3" s="14">
        <f>[2]Consume!$J3</f>
        <v>772.9</v>
      </c>
      <c r="M3" s="14">
        <f>J3+K3-L3</f>
        <v>17236.099999999999</v>
      </c>
      <c r="N3" s="21">
        <f>J3+'New Arrivals'!J3-[2]Consume!$J3</f>
        <v>12136.1</v>
      </c>
      <c r="O3" s="22">
        <f>M3/I3</f>
        <v>0.74884993482635354</v>
      </c>
      <c r="P3" s="14"/>
      <c r="Q3" s="14"/>
      <c r="R3" s="14"/>
      <c r="S3" s="14"/>
    </row>
    <row r="4" spans="1:19">
      <c r="A4" s="2" t="s">
        <v>20</v>
      </c>
      <c r="B4" s="4">
        <v>700</v>
      </c>
      <c r="C4" s="9">
        <f>'[1]Buffer Summary'!$F4</f>
        <v>1225</v>
      </c>
      <c r="D4" s="8">
        <f>'[1]Buffer Summary'!$D4</f>
        <v>511.33672799999994</v>
      </c>
      <c r="E4" s="7">
        <f>'[1]Buffer Summary'!$B4</f>
        <v>700</v>
      </c>
      <c r="F4" s="13">
        <v>21</v>
      </c>
      <c r="G4" s="14">
        <f t="shared" ref="G4:G28" si="0">C4</f>
        <v>1225</v>
      </c>
      <c r="H4" s="14">
        <f t="shared" ref="H4:H28" si="1">C4+D4</f>
        <v>1736.336728</v>
      </c>
      <c r="I4" s="15">
        <f t="shared" ref="I4:I28" si="2">C4+D4+E4</f>
        <v>2436.3367280000002</v>
      </c>
      <c r="J4" s="16">
        <f>'Wk 3 Analysis  '!N4</f>
        <v>2224.6</v>
      </c>
      <c r="K4" s="14">
        <f>'[2]On-Order'!$I4+'Wk 2 Analysis '!Q4+'Wk 1 Analysis '!Q4+'Wk 3 Analysis  '!Q4</f>
        <v>0</v>
      </c>
      <c r="L4" s="14">
        <f>[2]Consume!$J4</f>
        <v>29.2</v>
      </c>
      <c r="M4" s="14">
        <f t="shared" ref="M4:M28" si="3">J4+K4-L4</f>
        <v>2195.4</v>
      </c>
      <c r="N4" s="21">
        <f>J4+'New Arrivals'!J4-[2]Consume!$J4</f>
        <v>2195.4</v>
      </c>
      <c r="O4" s="22">
        <f t="shared" ref="O4:O28" si="4">M4/I4</f>
        <v>0.90110696718109806</v>
      </c>
      <c r="P4" s="14"/>
      <c r="Q4" s="14"/>
      <c r="R4" s="14"/>
      <c r="S4" s="32"/>
    </row>
    <row r="5" spans="1:19">
      <c r="A5" s="2" t="s">
        <v>21</v>
      </c>
      <c r="B5" s="4">
        <v>220</v>
      </c>
      <c r="C5" s="9">
        <f>'[1]Buffer Summary'!$F5</f>
        <v>399.88980499999997</v>
      </c>
      <c r="D5" s="8">
        <f>'[1]Buffer Summary'!$D5</f>
        <v>298.45594799999998</v>
      </c>
      <c r="E5" s="7">
        <f>'[1]Buffer Summary'!$B5</f>
        <v>228.50846000000001</v>
      </c>
      <c r="F5" s="13">
        <v>21</v>
      </c>
      <c r="G5" s="14">
        <f t="shared" si="0"/>
        <v>399.88980499999997</v>
      </c>
      <c r="H5" s="14">
        <f t="shared" si="1"/>
        <v>698.34575299999995</v>
      </c>
      <c r="I5" s="15">
        <f t="shared" si="2"/>
        <v>926.85421299999996</v>
      </c>
      <c r="J5" s="16">
        <f>'Wk 3 Analysis  '!N5</f>
        <v>278.10000000000002</v>
      </c>
      <c r="K5" s="14">
        <f>'[2]On-Order'!$I5+'Wk 2 Analysis '!Q5+'Wk 1 Analysis '!Q5+'Wk 3 Analysis  '!Q5</f>
        <v>0</v>
      </c>
      <c r="L5" s="14">
        <f>[2]Consume!$J5</f>
        <v>35.700000000000003</v>
      </c>
      <c r="M5" s="14">
        <f t="shared" si="3"/>
        <v>242.40000000000003</v>
      </c>
      <c r="N5" s="21">
        <f>J5+'New Arrivals'!J5-[2]Consume!$J5</f>
        <v>242.40000000000003</v>
      </c>
      <c r="O5" s="22">
        <f t="shared" si="4"/>
        <v>0.26152980328525521</v>
      </c>
      <c r="P5" s="23">
        <f t="shared" ref="P5" si="5">I5-M5</f>
        <v>684.45421299999998</v>
      </c>
      <c r="Q5" s="23">
        <f>B5*4</f>
        <v>880</v>
      </c>
      <c r="R5" s="23" t="s">
        <v>51</v>
      </c>
      <c r="S5" s="24">
        <f t="shared" ref="S5" si="6">P5/Q5</f>
        <v>0.77778887840909083</v>
      </c>
    </row>
    <row r="6" spans="1:19">
      <c r="A6" s="2" t="s">
        <v>22</v>
      </c>
      <c r="B6" s="4">
        <v>916</v>
      </c>
      <c r="C6" s="9">
        <f>'[1]Buffer Summary'!$F6</f>
        <v>5833.8262500000001</v>
      </c>
      <c r="D6" s="8">
        <f>'[1]Buffer Summary'!$D6</f>
        <v>4667.0609999999997</v>
      </c>
      <c r="E6" s="7">
        <f>'[1]Buffer Summary'!$B6</f>
        <v>3333.6149999999993</v>
      </c>
      <c r="F6" s="13">
        <v>21</v>
      </c>
      <c r="G6" s="14">
        <f t="shared" si="0"/>
        <v>5833.8262500000001</v>
      </c>
      <c r="H6" s="14">
        <f t="shared" si="1"/>
        <v>10500.88725</v>
      </c>
      <c r="I6" s="15">
        <f t="shared" si="2"/>
        <v>13834.50225</v>
      </c>
      <c r="J6" s="16">
        <f>'Wk 3 Analysis  '!N6</f>
        <v>2633.6000000000004</v>
      </c>
      <c r="K6" s="14">
        <f>'[2]On-Order'!$I6+'Wk 2 Analysis '!Q6+'Wk 1 Analysis '!Q6+'Wk 3 Analysis  '!Q6</f>
        <v>10076</v>
      </c>
      <c r="L6" s="14">
        <f>[2]Consume!$J6</f>
        <v>504</v>
      </c>
      <c r="M6" s="14">
        <f t="shared" si="3"/>
        <v>12205.6</v>
      </c>
      <c r="N6" s="21">
        <f>J6+'New Arrivals'!J6-[2]Consume!$J6</f>
        <v>8541.6</v>
      </c>
      <c r="O6" s="22">
        <f t="shared" si="4"/>
        <v>0.88225797932122929</v>
      </c>
      <c r="P6" s="14"/>
      <c r="Q6" s="14"/>
      <c r="R6" s="14"/>
      <c r="S6" s="14"/>
    </row>
    <row r="7" spans="1:19">
      <c r="A7" s="2" t="s">
        <v>23</v>
      </c>
      <c r="B7" s="4">
        <v>300</v>
      </c>
      <c r="C7" s="9">
        <f>'[1]Buffer Summary'!$F7</f>
        <v>1105.12941</v>
      </c>
      <c r="D7" s="8">
        <f>'[1]Buffer Summary'!$D7</f>
        <v>884.10352799999998</v>
      </c>
      <c r="E7" s="7">
        <f>'[1]Buffer Summary'!$B7</f>
        <v>631.50251999999989</v>
      </c>
      <c r="F7" s="13">
        <v>21</v>
      </c>
      <c r="G7" s="14">
        <f t="shared" si="0"/>
        <v>1105.12941</v>
      </c>
      <c r="H7" s="14">
        <f t="shared" si="1"/>
        <v>1989.2329380000001</v>
      </c>
      <c r="I7" s="15">
        <f t="shared" si="2"/>
        <v>2620.7354580000001</v>
      </c>
      <c r="J7" s="16">
        <f>'Wk 3 Analysis  '!N7</f>
        <v>967.89999999999986</v>
      </c>
      <c r="K7" s="14">
        <f>'[2]On-Order'!$I7+'Wk 2 Analysis '!Q7+'Wk 1 Analysis '!Q7+'Wk 3 Analysis  '!Q7</f>
        <v>1200</v>
      </c>
      <c r="L7" s="14">
        <f>[2]Consume!$J7</f>
        <v>118.7</v>
      </c>
      <c r="M7" s="14">
        <f t="shared" si="3"/>
        <v>2049.1999999999998</v>
      </c>
      <c r="N7" s="21">
        <f>J7+'New Arrivals'!J7-[2]Consume!$J7</f>
        <v>2049.1999999999998</v>
      </c>
      <c r="O7" s="22">
        <f t="shared" si="4"/>
        <v>0.78191791305934999</v>
      </c>
      <c r="P7" s="14"/>
      <c r="Q7" s="14"/>
      <c r="R7" s="14"/>
      <c r="S7" s="14"/>
    </row>
    <row r="8" spans="1:19">
      <c r="A8" s="3" t="s">
        <v>24</v>
      </c>
      <c r="B8" s="4">
        <v>700</v>
      </c>
      <c r="C8" s="9">
        <f>'[1]Buffer Summary'!$F8</f>
        <v>14594.65</v>
      </c>
      <c r="D8" s="8">
        <f>'[1]Buffer Summary'!$D8</f>
        <v>25019.4</v>
      </c>
      <c r="E8" s="7">
        <f>'[1]Buffer Summary'!$B8</f>
        <v>8339.7999999999993</v>
      </c>
      <c r="F8" s="13">
        <v>21</v>
      </c>
      <c r="G8" s="14">
        <f t="shared" si="0"/>
        <v>14594.65</v>
      </c>
      <c r="H8" s="14">
        <f t="shared" si="1"/>
        <v>39614.050000000003</v>
      </c>
      <c r="I8" s="15">
        <f t="shared" si="2"/>
        <v>47953.850000000006</v>
      </c>
      <c r="J8" s="16">
        <f>'Wk 3 Analysis  '!N8</f>
        <v>18001</v>
      </c>
      <c r="K8" s="14">
        <f>'[2]On-Order'!$I8+'Wk 2 Analysis '!Q8+'Wk 1 Analysis '!Q8+'Wk 3 Analysis  '!Q8</f>
        <v>17500</v>
      </c>
      <c r="L8" s="14">
        <f>[2]Consume!$J8</f>
        <v>2100</v>
      </c>
      <c r="M8" s="14">
        <f t="shared" si="3"/>
        <v>33401</v>
      </c>
      <c r="N8" s="21">
        <f>J8+'New Arrivals'!J8-[2]Consume!$J8</f>
        <v>15901</v>
      </c>
      <c r="O8" s="22">
        <f t="shared" si="4"/>
        <v>0.69652384532211686</v>
      </c>
      <c r="P8" s="14"/>
      <c r="Q8" s="14"/>
      <c r="R8" s="14"/>
      <c r="S8" s="14"/>
    </row>
    <row r="9" spans="1:19">
      <c r="A9" s="3" t="s">
        <v>25</v>
      </c>
      <c r="B9" s="4">
        <v>850</v>
      </c>
      <c r="C9" s="9">
        <f>'[1]Buffer Summary'!$F9</f>
        <v>9705.8630864999996</v>
      </c>
      <c r="D9" s="8">
        <f>'[1]Buffer Summary'!$D9</f>
        <v>7764.6904691999998</v>
      </c>
      <c r="E9" s="7">
        <f>'[1]Buffer Summary'!$B9</f>
        <v>5546.2074779999994</v>
      </c>
      <c r="F9" s="13">
        <v>21</v>
      </c>
      <c r="G9" s="14">
        <f t="shared" si="0"/>
        <v>9705.8630864999996</v>
      </c>
      <c r="H9" s="14">
        <f t="shared" si="1"/>
        <v>17470.5535557</v>
      </c>
      <c r="I9" s="15">
        <f t="shared" si="2"/>
        <v>23016.761033700001</v>
      </c>
      <c r="J9" s="16">
        <f>'Wk 3 Analysis  '!N9</f>
        <v>6108.9999999999991</v>
      </c>
      <c r="K9" s="14">
        <f>'[2]On-Order'!$I9+'Wk 2 Analysis '!Q9+'Wk 1 Analysis '!Q9+'Wk 3 Analysis  '!Q9</f>
        <v>11900</v>
      </c>
      <c r="L9" s="14">
        <f>[2]Consume!$J9</f>
        <v>772.9</v>
      </c>
      <c r="M9" s="14">
        <f t="shared" si="3"/>
        <v>17236.099999999999</v>
      </c>
      <c r="N9" s="21">
        <f>J9+'New Arrivals'!J9-[2]Consume!$J9</f>
        <v>12136.1</v>
      </c>
      <c r="O9" s="22">
        <f t="shared" si="4"/>
        <v>0.74884993482635354</v>
      </c>
      <c r="P9" s="14"/>
      <c r="Q9" s="14"/>
      <c r="R9" s="14"/>
      <c r="S9" s="14"/>
    </row>
    <row r="10" spans="1:19">
      <c r="A10" s="3" t="s">
        <v>26</v>
      </c>
      <c r="B10" s="5">
        <v>6272</v>
      </c>
      <c r="C10" s="9">
        <f>'[1]Buffer Summary'!$F10</f>
        <v>10976</v>
      </c>
      <c r="D10" s="8">
        <f>'[1]Buffer Summary'!$D10</f>
        <v>876.23199999999997</v>
      </c>
      <c r="E10" s="7">
        <f>'[1]Buffer Summary'!$B10</f>
        <v>6272</v>
      </c>
      <c r="F10" s="13">
        <v>21</v>
      </c>
      <c r="G10" s="14">
        <f t="shared" si="0"/>
        <v>10976</v>
      </c>
      <c r="H10" s="14">
        <f t="shared" si="1"/>
        <v>11852.232</v>
      </c>
      <c r="I10" s="15">
        <f t="shared" si="2"/>
        <v>18124.232</v>
      </c>
      <c r="J10" s="16">
        <f>'Wk 3 Analysis  '!N10</f>
        <v>18558</v>
      </c>
      <c r="K10" s="14">
        <f>'[2]On-Order'!$I10+'Wk 2 Analysis '!Q10+'Wk 1 Analysis '!Q10+'Wk 3 Analysis  '!Q10</f>
        <v>6272</v>
      </c>
      <c r="L10" s="14">
        <f>[2]Consume!$J10</f>
        <v>70</v>
      </c>
      <c r="M10" s="14">
        <f t="shared" si="3"/>
        <v>24760</v>
      </c>
      <c r="N10" s="21">
        <f>J10+'New Arrivals'!J10-[2]Consume!$J10</f>
        <v>18488</v>
      </c>
      <c r="O10" s="22">
        <f t="shared" si="4"/>
        <v>1.3661268516094915</v>
      </c>
      <c r="P10" s="14"/>
      <c r="Q10" s="14"/>
      <c r="R10" s="14"/>
      <c r="S10" s="14"/>
    </row>
    <row r="11" spans="1:19">
      <c r="A11" s="3" t="s">
        <v>28</v>
      </c>
      <c r="B11" s="5">
        <v>6400</v>
      </c>
      <c r="C11" s="9">
        <f>'[1]Buffer Summary'!$F11</f>
        <v>11200</v>
      </c>
      <c r="D11" s="8">
        <f>'[1]Buffer Summary'!$D11</f>
        <v>882.952</v>
      </c>
      <c r="E11" s="7">
        <f>'[1]Buffer Summary'!$B11</f>
        <v>6400</v>
      </c>
      <c r="F11" s="13">
        <v>21</v>
      </c>
      <c r="G11" s="14">
        <f t="shared" si="0"/>
        <v>11200</v>
      </c>
      <c r="H11" s="14">
        <f t="shared" si="1"/>
        <v>12082.951999999999</v>
      </c>
      <c r="I11" s="15">
        <f t="shared" si="2"/>
        <v>18482.951999999997</v>
      </c>
      <c r="J11" s="16">
        <f>'Wk 3 Analysis  '!N11</f>
        <v>19467</v>
      </c>
      <c r="K11" s="14">
        <f>'[2]On-Order'!$I11+'Wk 2 Analysis '!Q11+'Wk 1 Analysis '!Q11+'Wk 3 Analysis  '!Q11</f>
        <v>6400</v>
      </c>
      <c r="L11" s="14">
        <f>[2]Consume!$J11</f>
        <v>69</v>
      </c>
      <c r="M11" s="14">
        <f t="shared" si="3"/>
        <v>25798</v>
      </c>
      <c r="N11" s="21">
        <f>J11+'New Arrivals'!J11-[2]Consume!$J11</f>
        <v>19398</v>
      </c>
      <c r="O11" s="22">
        <f t="shared" si="4"/>
        <v>1.3957727099004533</v>
      </c>
      <c r="P11" s="14"/>
      <c r="Q11" s="14"/>
      <c r="R11" s="14"/>
      <c r="S11" s="14"/>
    </row>
    <row r="12" spans="1:19">
      <c r="A12" s="3" t="s">
        <v>29</v>
      </c>
      <c r="B12" s="5">
        <v>50000</v>
      </c>
      <c r="C12" s="9">
        <f>'[1]Buffer Summary'!$F12</f>
        <v>87500</v>
      </c>
      <c r="D12" s="8">
        <f>'[1]Buffer Summary'!$D12</f>
        <v>9435.8879999999972</v>
      </c>
      <c r="E12" s="7">
        <f>'[1]Buffer Summary'!$B12</f>
        <v>50000</v>
      </c>
      <c r="F12" s="13">
        <v>21</v>
      </c>
      <c r="G12" s="14">
        <f t="shared" si="0"/>
        <v>87500</v>
      </c>
      <c r="H12" s="14">
        <f t="shared" si="1"/>
        <v>96935.887999999992</v>
      </c>
      <c r="I12" s="15">
        <f t="shared" si="2"/>
        <v>146935.88799999998</v>
      </c>
      <c r="J12" s="16">
        <f>'Wk 3 Analysis  '!N12</f>
        <v>155887</v>
      </c>
      <c r="K12" s="14">
        <f>'[2]On-Order'!$I12+'Wk 2 Analysis '!Q12+'Wk 1 Analysis '!Q12+'Wk 3 Analysis  '!Q12</f>
        <v>0</v>
      </c>
      <c r="L12" s="14">
        <f>[2]Consume!$J12</f>
        <v>3770</v>
      </c>
      <c r="M12" s="14">
        <f t="shared" si="3"/>
        <v>152117</v>
      </c>
      <c r="N12" s="21">
        <f>J12+'New Arrivals'!J12-[2]Consume!$J12</f>
        <v>152117</v>
      </c>
      <c r="O12" s="22">
        <f t="shared" si="4"/>
        <v>1.0352610384741407</v>
      </c>
      <c r="P12" s="14"/>
      <c r="Q12" s="14"/>
      <c r="R12" s="14"/>
      <c r="S12" s="14"/>
    </row>
    <row r="13" spans="1:19">
      <c r="A13" s="3" t="s">
        <v>30</v>
      </c>
      <c r="B13" s="4">
        <v>450</v>
      </c>
      <c r="C13" s="9">
        <f>'[1]Buffer Summary'!$F13</f>
        <v>22731.4986899</v>
      </c>
      <c r="D13" s="8">
        <f>'[1]Buffer Summary'!$D13</f>
        <v>18185.19895192</v>
      </c>
      <c r="E13" s="7">
        <f>'[1]Buffer Summary'!$B13</f>
        <v>12989.427822799998</v>
      </c>
      <c r="F13" s="13">
        <v>21</v>
      </c>
      <c r="G13" s="14">
        <f t="shared" si="0"/>
        <v>22731.4986899</v>
      </c>
      <c r="H13" s="14">
        <f t="shared" si="1"/>
        <v>40916.697641819999</v>
      </c>
      <c r="I13" s="15">
        <f t="shared" si="2"/>
        <v>53906.125464619996</v>
      </c>
      <c r="J13" s="16">
        <f>'Wk 3 Analysis  '!N13</f>
        <v>27560.9</v>
      </c>
      <c r="K13" s="14">
        <f>'[2]On-Order'!$I13+'Wk 2 Analysis '!Q13+'Wk 1 Analysis '!Q13+'Wk 3 Analysis  '!Q13</f>
        <v>10350</v>
      </c>
      <c r="L13" s="14">
        <f>[2]Consume!$J13</f>
        <v>1443.3</v>
      </c>
      <c r="M13" s="14">
        <f t="shared" si="3"/>
        <v>36467.599999999999</v>
      </c>
      <c r="N13" s="21">
        <f>J13+'New Arrivals'!J13-[2]Consume!$J13</f>
        <v>26117.600000000002</v>
      </c>
      <c r="O13" s="22">
        <f t="shared" si="4"/>
        <v>0.67650196866652268</v>
      </c>
      <c r="P13" s="23">
        <f t="shared" ref="P13:P14" si="7">I13-M13</f>
        <v>17438.525464619997</v>
      </c>
      <c r="Q13" s="23">
        <f>B13*21</f>
        <v>9450</v>
      </c>
      <c r="R13" s="23" t="s">
        <v>51</v>
      </c>
      <c r="S13" s="24">
        <f t="shared" ref="S13:S14" si="8">P13/Q13</f>
        <v>1.8453466100126981</v>
      </c>
    </row>
    <row r="14" spans="1:19">
      <c r="A14" s="3" t="s">
        <v>31</v>
      </c>
      <c r="B14" s="4">
        <v>750</v>
      </c>
      <c r="C14" s="9">
        <f>'[1]Buffer Summary'!$F14</f>
        <v>4069.1037274999994</v>
      </c>
      <c r="D14" s="8">
        <f>'[1]Buffer Summary'!$D14</f>
        <v>3255.2829820000006</v>
      </c>
      <c r="E14" s="7">
        <f>'[1]Buffer Summary'!$B14</f>
        <v>2325.2021299999997</v>
      </c>
      <c r="F14" s="13">
        <v>21</v>
      </c>
      <c r="G14" s="14">
        <f t="shared" si="0"/>
        <v>4069.1037274999994</v>
      </c>
      <c r="H14" s="14">
        <f t="shared" si="1"/>
        <v>7324.3867095000005</v>
      </c>
      <c r="I14" s="15">
        <f t="shared" si="2"/>
        <v>9649.5888395000002</v>
      </c>
      <c r="J14" s="16">
        <f>'Wk 3 Analysis  '!N14</f>
        <v>3160.6</v>
      </c>
      <c r="K14" s="14">
        <f>'[2]On-Order'!$I14+'Wk 2 Analysis '!Q14+'Wk 1 Analysis '!Q14+'Wk 3 Analysis  '!Q14</f>
        <v>2250</v>
      </c>
      <c r="L14" s="14">
        <f>[2]Consume!$J14</f>
        <v>277.5</v>
      </c>
      <c r="M14" s="14">
        <f t="shared" si="3"/>
        <v>5133.1000000000004</v>
      </c>
      <c r="N14" s="21">
        <f>J14+'New Arrivals'!J14-[2]Consume!$J14</f>
        <v>8883.1</v>
      </c>
      <c r="O14" s="22">
        <f t="shared" si="4"/>
        <v>0.53195012610153614</v>
      </c>
      <c r="P14" s="23">
        <f t="shared" si="7"/>
        <v>4516.4888394999998</v>
      </c>
      <c r="Q14" s="23">
        <f>B14*7</f>
        <v>5250</v>
      </c>
      <c r="R14" s="23" t="s">
        <v>51</v>
      </c>
      <c r="S14" s="24">
        <f t="shared" si="8"/>
        <v>0.86028358847619046</v>
      </c>
    </row>
    <row r="15" spans="1:19">
      <c r="A15" s="3" t="s">
        <v>32</v>
      </c>
      <c r="B15" s="4">
        <v>700</v>
      </c>
      <c r="C15" s="9">
        <f>'[1]Buffer Summary'!$F15</f>
        <v>1666.2783549999999</v>
      </c>
      <c r="D15" s="8">
        <f>'[1]Buffer Summary'!$D15</f>
        <v>1307.794124</v>
      </c>
      <c r="E15" s="7">
        <f>'[1]Buffer Summary'!$B15</f>
        <v>952.15905999999995</v>
      </c>
      <c r="F15" s="13">
        <v>21</v>
      </c>
      <c r="G15" s="14">
        <f t="shared" si="0"/>
        <v>1666.2783549999999</v>
      </c>
      <c r="H15" s="14">
        <f t="shared" si="1"/>
        <v>2974.0724789999999</v>
      </c>
      <c r="I15" s="15">
        <f t="shared" si="2"/>
        <v>3926.2315389999999</v>
      </c>
      <c r="J15" s="16">
        <f>'Wk 3 Analysis  '!N15</f>
        <v>3011.9</v>
      </c>
      <c r="K15" s="14">
        <f>'[2]On-Order'!$I15+'Wk 2 Analysis '!Q15+'Wk 1 Analysis '!Q15+'Wk 3 Analysis  '!Q15</f>
        <v>0</v>
      </c>
      <c r="L15" s="14">
        <f>[2]Consume!$J15</f>
        <v>152.1</v>
      </c>
      <c r="M15" s="14">
        <f t="shared" si="3"/>
        <v>2859.8</v>
      </c>
      <c r="N15" s="21">
        <f>J15+'New Arrivals'!J15-[2]Consume!$J15</f>
        <v>2859.8</v>
      </c>
      <c r="O15" s="22">
        <f t="shared" si="4"/>
        <v>0.72838292178977893</v>
      </c>
      <c r="P15" s="14"/>
      <c r="Q15" s="14"/>
      <c r="R15" s="14"/>
      <c r="S15" s="14"/>
    </row>
    <row r="16" spans="1:19">
      <c r="A16" s="3" t="s">
        <v>33</v>
      </c>
      <c r="B16" s="4">
        <v>750</v>
      </c>
      <c r="C16" s="9">
        <f>'[1]Buffer Summary'!$F16</f>
        <v>2259.6644349999997</v>
      </c>
      <c r="D16" s="8">
        <f>'[1]Buffer Summary'!$D16</f>
        <v>1807.7315480000002</v>
      </c>
      <c r="E16" s="7">
        <f>'[1]Buffer Summary'!$B16</f>
        <v>1291.2368199999999</v>
      </c>
      <c r="F16" s="13">
        <v>21</v>
      </c>
      <c r="G16" s="14">
        <f t="shared" si="0"/>
        <v>2259.6644349999997</v>
      </c>
      <c r="H16" s="14">
        <f t="shared" si="1"/>
        <v>4067.3959829999999</v>
      </c>
      <c r="I16" s="15">
        <f t="shared" si="2"/>
        <v>5358.6328029999995</v>
      </c>
      <c r="J16" s="16">
        <f>'Wk 3 Analysis  '!N16</f>
        <v>4876.4999999999991</v>
      </c>
      <c r="K16" s="14">
        <f>'[2]On-Order'!$I16+'Wk 2 Analysis '!Q16+'Wk 1 Analysis '!Q16+'Wk 3 Analysis  '!Q16</f>
        <v>0</v>
      </c>
      <c r="L16" s="14">
        <f>[2]Consume!$J16</f>
        <v>152.1</v>
      </c>
      <c r="M16" s="14">
        <f t="shared" si="3"/>
        <v>4724.3999999999987</v>
      </c>
      <c r="N16" s="21">
        <f>J16+'New Arrivals'!J16-[2]Consume!$J16</f>
        <v>4724.3999999999987</v>
      </c>
      <c r="O16" s="22">
        <f t="shared" si="4"/>
        <v>0.88164279466118123</v>
      </c>
      <c r="P16" s="14"/>
      <c r="Q16" s="14"/>
      <c r="R16" s="14"/>
      <c r="S16" s="14"/>
    </row>
    <row r="17" spans="1:19">
      <c r="A17" s="3" t="s">
        <v>34</v>
      </c>
      <c r="B17" s="5">
        <v>2475</v>
      </c>
      <c r="C17" s="9">
        <f>'[1]Buffer Summary'!$F17</f>
        <v>29302.883610000001</v>
      </c>
      <c r="D17" s="8">
        <f>'[1]Buffer Summary'!$D17</f>
        <v>23442.306887999999</v>
      </c>
      <c r="E17" s="7">
        <f>'[1]Buffer Summary'!$B17</f>
        <v>16744.504919999999</v>
      </c>
      <c r="F17" s="13">
        <v>21</v>
      </c>
      <c r="G17" s="14">
        <f t="shared" si="0"/>
        <v>29302.883610000001</v>
      </c>
      <c r="H17" s="14">
        <f t="shared" si="1"/>
        <v>52745.190497999996</v>
      </c>
      <c r="I17" s="15">
        <f t="shared" si="2"/>
        <v>69489.695417999988</v>
      </c>
      <c r="J17" s="16">
        <f>'Wk 3 Analysis  '!N17</f>
        <v>46149.1</v>
      </c>
      <c r="K17" s="14">
        <f>'[2]On-Order'!$I17+'Wk 2 Analysis '!Q17+'Wk 1 Analysis '!Q17+'Wk 3 Analysis  '!Q17</f>
        <v>57750</v>
      </c>
      <c r="L17" s="14">
        <f>[2]Consume!$J17</f>
        <v>2789.9</v>
      </c>
      <c r="M17" s="14">
        <f t="shared" si="3"/>
        <v>101109.20000000001</v>
      </c>
      <c r="N17" s="21">
        <f>J17+'New Arrivals'!J17-[2]Consume!$J17</f>
        <v>43359.199999999997</v>
      </c>
      <c r="O17" s="22">
        <f t="shared" si="4"/>
        <v>1.4550243657250164</v>
      </c>
      <c r="P17" s="14"/>
      <c r="Q17" s="14"/>
      <c r="R17" s="14"/>
      <c r="S17" s="14"/>
    </row>
    <row r="18" spans="1:19">
      <c r="A18" s="3" t="s">
        <v>35</v>
      </c>
      <c r="B18" s="5">
        <v>1000</v>
      </c>
      <c r="C18" s="9">
        <f>'[1]Buffer Summary'!$F18</f>
        <v>4449.3902600000001</v>
      </c>
      <c r="D18" s="8">
        <f>'[1]Buffer Summary'!$D18</f>
        <v>3559.5122080000001</v>
      </c>
      <c r="E18" s="7">
        <f>'[1]Buffer Summary'!$B18</f>
        <v>2542.5087199999994</v>
      </c>
      <c r="F18" s="13">
        <v>21</v>
      </c>
      <c r="G18" s="14">
        <f t="shared" si="0"/>
        <v>4449.3902600000001</v>
      </c>
      <c r="H18" s="14">
        <f t="shared" si="1"/>
        <v>8008.9024680000002</v>
      </c>
      <c r="I18" s="15">
        <f t="shared" si="2"/>
        <v>10551.411188</v>
      </c>
      <c r="J18" s="16">
        <f>'Wk 3 Analysis  '!N18</f>
        <v>2777.2000000000007</v>
      </c>
      <c r="K18" s="14">
        <f>'[2]On-Order'!$I18+'Wk 2 Analysis '!Q18+'Wk 1 Analysis '!Q18+'Wk 3 Analysis  '!Q18</f>
        <v>0</v>
      </c>
      <c r="L18" s="14">
        <f>[2]Consume!$J18</f>
        <v>816.8</v>
      </c>
      <c r="M18" s="14">
        <f t="shared" si="3"/>
        <v>1960.4000000000008</v>
      </c>
      <c r="N18" s="21">
        <f>J18+'New Arrivals'!J18-[2]Consume!$J18</f>
        <v>1960.4000000000008</v>
      </c>
      <c r="O18" s="22">
        <f t="shared" si="4"/>
        <v>0.18579505291477422</v>
      </c>
      <c r="P18" s="23">
        <f t="shared" ref="P18" si="9">I18-M18</f>
        <v>8591.0111879999986</v>
      </c>
      <c r="Q18" s="23">
        <f>B18*9</f>
        <v>9000</v>
      </c>
      <c r="R18" s="23" t="s">
        <v>51</v>
      </c>
      <c r="S18" s="24">
        <f t="shared" ref="S18" si="10">P18/Q18</f>
        <v>0.95455679866666654</v>
      </c>
    </row>
    <row r="19" spans="1:19">
      <c r="A19" s="3" t="s">
        <v>36</v>
      </c>
      <c r="B19" s="4">
        <v>20</v>
      </c>
      <c r="C19" s="9">
        <f>'[1]Buffer Summary'!$F19</f>
        <v>35.079274999999996</v>
      </c>
      <c r="D19" s="8">
        <f>'[1]Buffer Summary'!$D19</f>
        <v>37.999866666666662</v>
      </c>
      <c r="E19" s="7">
        <f>'[1]Buffer Summary'!$B19</f>
        <v>20.045300000000001</v>
      </c>
      <c r="F19" s="13">
        <v>44</v>
      </c>
      <c r="G19" s="14">
        <f t="shared" si="0"/>
        <v>35.079274999999996</v>
      </c>
      <c r="H19" s="14">
        <f t="shared" si="1"/>
        <v>73.079141666666658</v>
      </c>
      <c r="I19" s="15">
        <f t="shared" si="2"/>
        <v>93.124441666666655</v>
      </c>
      <c r="J19" s="16">
        <f>'Wk 3 Analysis  '!N19</f>
        <v>96.7</v>
      </c>
      <c r="K19" s="14">
        <f>'[2]On-Order'!$I19+'Wk 2 Analysis '!Q19+'Wk 1 Analysis '!Q19+'Wk 3 Analysis  '!Q19</f>
        <v>0</v>
      </c>
      <c r="L19" s="14">
        <f>[2]Consume!$J19</f>
        <v>0</v>
      </c>
      <c r="M19" s="14">
        <f t="shared" si="3"/>
        <v>96.7</v>
      </c>
      <c r="N19" s="21">
        <f>J19+'New Arrivals'!J19-[2]Consume!$J19</f>
        <v>96.7</v>
      </c>
      <c r="O19" s="22">
        <f t="shared" si="4"/>
        <v>1.0383954874718266</v>
      </c>
      <c r="P19" s="14"/>
      <c r="Q19" s="14"/>
      <c r="R19" s="14"/>
      <c r="S19" s="32"/>
    </row>
    <row r="20" spans="1:19">
      <c r="A20" s="3" t="s">
        <v>37</v>
      </c>
      <c r="B20" s="4">
        <v>15</v>
      </c>
      <c r="C20" s="9">
        <f>'[1]Buffer Summary'!$F20</f>
        <v>51.674885500000002</v>
      </c>
      <c r="D20" s="8">
        <f>'[1]Buffer Summary'!$D20</f>
        <v>41.339908400000006</v>
      </c>
      <c r="E20" s="7">
        <f>'[1]Buffer Summary'!$B20</f>
        <v>29.528506000000004</v>
      </c>
      <c r="F20" s="13">
        <v>21</v>
      </c>
      <c r="G20" s="14">
        <f t="shared" si="0"/>
        <v>51.674885500000002</v>
      </c>
      <c r="H20" s="14">
        <f t="shared" si="1"/>
        <v>93.014793900000001</v>
      </c>
      <c r="I20" s="15">
        <f t="shared" si="2"/>
        <v>122.54329990000001</v>
      </c>
      <c r="J20" s="16">
        <f>'Wk 3 Analysis  '!N20</f>
        <v>98.40000000000002</v>
      </c>
      <c r="K20" s="14">
        <f>'[2]On-Order'!$I20+'Wk 2 Analysis '!Q20+'Wk 1 Analysis '!Q20+'Wk 3 Analysis  '!Q20</f>
        <v>0</v>
      </c>
      <c r="L20" s="14">
        <f>[2]Consume!$J20</f>
        <v>2.7</v>
      </c>
      <c r="M20" s="14">
        <f t="shared" si="3"/>
        <v>95.700000000000017</v>
      </c>
      <c r="N20" s="21">
        <f>J20+'New Arrivals'!J20-[2]Consume!$J20</f>
        <v>95.700000000000017</v>
      </c>
      <c r="O20" s="22">
        <f t="shared" si="4"/>
        <v>0.78094844906326866</v>
      </c>
      <c r="P20" s="14"/>
      <c r="Q20" s="14"/>
      <c r="R20" s="14"/>
      <c r="S20" s="32"/>
    </row>
    <row r="21" spans="1:19">
      <c r="A21" s="3" t="s">
        <v>38</v>
      </c>
      <c r="B21" s="4">
        <v>20</v>
      </c>
      <c r="C21" s="9">
        <f>'[1]Buffer Summary'!$F21</f>
        <v>78.086971199999979</v>
      </c>
      <c r="D21" s="8">
        <f>'[1]Buffer Summary'!$D21</f>
        <v>130.88863743999997</v>
      </c>
      <c r="E21" s="7">
        <f>'[1]Buffer Summary'!$B21</f>
        <v>44.621126399999994</v>
      </c>
      <c r="F21" s="13">
        <v>44</v>
      </c>
      <c r="G21" s="14">
        <f t="shared" si="0"/>
        <v>78.086971199999979</v>
      </c>
      <c r="H21" s="14">
        <f t="shared" si="1"/>
        <v>208.97560863999996</v>
      </c>
      <c r="I21" s="15">
        <f t="shared" si="2"/>
        <v>253.59673503999994</v>
      </c>
      <c r="J21" s="16">
        <f>'Wk 3 Analysis  '!N21</f>
        <v>133.4</v>
      </c>
      <c r="K21" s="14">
        <f>'[2]On-Order'!$I21+'Wk 2 Analysis '!Q21+'Wk 1 Analysis '!Q21+'Wk 3 Analysis  '!Q21</f>
        <v>160</v>
      </c>
      <c r="L21" s="14">
        <f>[2]Consume!$J21</f>
        <v>0</v>
      </c>
      <c r="M21" s="14">
        <f t="shared" si="3"/>
        <v>293.39999999999998</v>
      </c>
      <c r="N21" s="21">
        <f>J21+'New Arrivals'!J21-[2]Consume!$J21</f>
        <v>133.4</v>
      </c>
      <c r="O21" s="22">
        <f t="shared" si="4"/>
        <v>1.1569549582478726</v>
      </c>
      <c r="P21" s="14"/>
      <c r="Q21" s="14"/>
      <c r="R21" s="14"/>
      <c r="S21" s="14"/>
    </row>
    <row r="22" spans="1:19">
      <c r="A22" s="3" t="s">
        <v>39</v>
      </c>
      <c r="B22" s="5">
        <v>1000</v>
      </c>
      <c r="C22" s="9">
        <f>'[1]Buffer Summary'!$F22</f>
        <v>2019.8313333333331</v>
      </c>
      <c r="D22" s="8">
        <f>'[1]Buffer Summary'!$D22</f>
        <v>2912.6439999999998</v>
      </c>
      <c r="E22" s="7">
        <f>'[1]Buffer Summary'!$B22</f>
        <v>1154.1893333333333</v>
      </c>
      <c r="F22" s="13">
        <v>21</v>
      </c>
      <c r="G22" s="14">
        <f t="shared" si="0"/>
        <v>2019.8313333333331</v>
      </c>
      <c r="H22" s="14">
        <f t="shared" si="1"/>
        <v>4932.4753333333329</v>
      </c>
      <c r="I22" s="15">
        <f t="shared" si="2"/>
        <v>6086.6646666666657</v>
      </c>
      <c r="J22" s="16">
        <f>'Wk 3 Analysis  '!N22</f>
        <v>-47</v>
      </c>
      <c r="K22" s="14">
        <f>'[2]On-Order'!$I22+'Wk 2 Analysis '!Q22+'Wk 1 Analysis '!Q22+'Wk 3 Analysis  '!Q22</f>
        <v>7000</v>
      </c>
      <c r="L22" s="14">
        <f>[2]Consume!$J22</f>
        <v>0</v>
      </c>
      <c r="M22" s="14">
        <f t="shared" si="3"/>
        <v>6953</v>
      </c>
      <c r="N22" s="21">
        <f>J22+'New Arrivals'!J22-[2]Consume!$J22</f>
        <v>-47</v>
      </c>
      <c r="O22" s="22">
        <f t="shared" si="4"/>
        <v>1.1423333435925556</v>
      </c>
      <c r="P22" s="14"/>
      <c r="Q22" s="14"/>
      <c r="R22" s="14"/>
      <c r="S22" s="14"/>
    </row>
    <row r="23" spans="1:19">
      <c r="A23" s="3" t="s">
        <v>40</v>
      </c>
      <c r="B23" s="4">
        <v>990</v>
      </c>
      <c r="C23" s="9">
        <f>'[1]Buffer Summary'!$F23</f>
        <v>60066.551999999989</v>
      </c>
      <c r="D23" s="8">
        <f>'[1]Buffer Summary'!$D23</f>
        <v>13348.122666666666</v>
      </c>
      <c r="E23" s="7">
        <f>'[1]Buffer Summary'!$B23</f>
        <v>40044.367999999995</v>
      </c>
      <c r="F23" s="13">
        <v>14</v>
      </c>
      <c r="G23" s="14">
        <f t="shared" si="0"/>
        <v>60066.551999999989</v>
      </c>
      <c r="H23" s="14">
        <f t="shared" si="1"/>
        <v>73414.674666666659</v>
      </c>
      <c r="I23" s="15">
        <f t="shared" si="2"/>
        <v>113459.04266666665</v>
      </c>
      <c r="J23" s="16">
        <f>'Wk 3 Analysis  '!N23</f>
        <v>101169</v>
      </c>
      <c r="K23" s="14">
        <f>'[2]On-Order'!$I23+'Wk 2 Analysis '!Q23+'Wk 1 Analysis '!Q23+'Wk 3 Analysis  '!Q23</f>
        <v>0</v>
      </c>
      <c r="L23" s="14">
        <f>[2]Consume!$J23</f>
        <v>1914</v>
      </c>
      <c r="M23" s="14">
        <f t="shared" si="3"/>
        <v>99255</v>
      </c>
      <c r="N23" s="21">
        <f>J23+'New Arrivals'!J23-[2]Consume!$J23</f>
        <v>99255</v>
      </c>
      <c r="O23" s="22">
        <f t="shared" si="4"/>
        <v>0.8748090735403351</v>
      </c>
      <c r="P23" s="14"/>
      <c r="Q23" s="14"/>
      <c r="R23" s="14"/>
      <c r="S23" s="32"/>
    </row>
    <row r="24" spans="1:19">
      <c r="A24" s="3" t="s">
        <v>41</v>
      </c>
      <c r="B24" s="4">
        <v>990</v>
      </c>
      <c r="C24" s="9">
        <f>'[1]Buffer Summary'!$F24</f>
        <v>107959.068</v>
      </c>
      <c r="D24" s="8">
        <f>'[1]Buffer Summary'!$D24</f>
        <v>23990.904000000002</v>
      </c>
      <c r="E24" s="7">
        <f>'[1]Buffer Summary'!$B24</f>
        <v>71972.712</v>
      </c>
      <c r="F24" s="13">
        <v>14</v>
      </c>
      <c r="G24" s="14">
        <f t="shared" si="0"/>
        <v>107959.068</v>
      </c>
      <c r="H24" s="14">
        <f t="shared" si="1"/>
        <v>131949.97200000001</v>
      </c>
      <c r="I24" s="15">
        <f t="shared" si="2"/>
        <v>203922.68400000001</v>
      </c>
      <c r="J24" s="16">
        <f>'Wk 3 Analysis  '!N24</f>
        <v>197772</v>
      </c>
      <c r="K24" s="14">
        <f>'[2]On-Order'!$I24+'Wk 2 Analysis '!Q24+'Wk 1 Analysis '!Q24+'Wk 3 Analysis  '!Q24</f>
        <v>0</v>
      </c>
      <c r="L24" s="14">
        <f>[2]Consume!$J24</f>
        <v>4218</v>
      </c>
      <c r="M24" s="14">
        <f t="shared" si="3"/>
        <v>193554</v>
      </c>
      <c r="N24" s="21">
        <f>J24+'New Arrivals'!J24-[2]Consume!$J24</f>
        <v>193554</v>
      </c>
      <c r="O24" s="22">
        <f t="shared" si="4"/>
        <v>0.94915384695505478</v>
      </c>
      <c r="P24" s="14"/>
      <c r="Q24" s="14"/>
      <c r="R24" s="14"/>
      <c r="S24" s="32"/>
    </row>
    <row r="25" spans="1:19">
      <c r="A25" s="3" t="s">
        <v>42</v>
      </c>
      <c r="B25" s="4">
        <v>202</v>
      </c>
      <c r="C25" s="9">
        <f>'[1]Buffer Summary'!$F25</f>
        <v>1135.0720919999999</v>
      </c>
      <c r="D25" s="8">
        <f>'[1]Buffer Summary'!$D25</f>
        <v>252.23824266666665</v>
      </c>
      <c r="E25" s="7">
        <f>'[1]Buffer Summary'!$B25</f>
        <v>756.71472799999992</v>
      </c>
      <c r="F25" s="13">
        <v>14</v>
      </c>
      <c r="G25" s="14">
        <f t="shared" si="0"/>
        <v>1135.0720919999999</v>
      </c>
      <c r="H25" s="14">
        <f t="shared" si="1"/>
        <v>1387.3103346666664</v>
      </c>
      <c r="I25" s="15">
        <f t="shared" si="2"/>
        <v>2144.0250626666666</v>
      </c>
      <c r="J25" s="16">
        <f>'Wk 3 Analysis  '!N25</f>
        <v>1827.7</v>
      </c>
      <c r="K25" s="14">
        <f>'[2]On-Order'!$I25+'Wk 2 Analysis '!Q25+'Wk 1 Analysis '!Q25+'Wk 3 Analysis  '!Q25</f>
        <v>0</v>
      </c>
      <c r="L25" s="14">
        <f>[2]Consume!$J25</f>
        <v>49.3</v>
      </c>
      <c r="M25" s="14">
        <f t="shared" si="3"/>
        <v>1778.4</v>
      </c>
      <c r="N25" s="21">
        <f>J25+'New Arrivals'!J25-[2]Consume!$J25</f>
        <v>1778.4</v>
      </c>
      <c r="O25" s="22">
        <f t="shared" si="4"/>
        <v>0.82946791572859957</v>
      </c>
      <c r="P25" s="14"/>
      <c r="Q25" s="14"/>
      <c r="R25" s="14"/>
      <c r="S25" s="32"/>
    </row>
    <row r="26" spans="1:19">
      <c r="A26" s="3" t="s">
        <v>43</v>
      </c>
      <c r="B26" s="5">
        <v>1300</v>
      </c>
      <c r="C26" s="9">
        <f>'[1]Buffer Summary'!$F26</f>
        <v>16720.871999999996</v>
      </c>
      <c r="D26" s="8">
        <f>'[1]Buffer Summary'!$D26</f>
        <v>5573.6239999999998</v>
      </c>
      <c r="E26" s="7">
        <f>'[1]Buffer Summary'!$B26</f>
        <v>11147.248</v>
      </c>
      <c r="F26" s="13">
        <v>14</v>
      </c>
      <c r="G26" s="14">
        <f t="shared" si="0"/>
        <v>16720.871999999996</v>
      </c>
      <c r="H26" s="14">
        <f t="shared" si="1"/>
        <v>22294.495999999996</v>
      </c>
      <c r="I26" s="15">
        <f t="shared" si="2"/>
        <v>33441.743999999992</v>
      </c>
      <c r="J26" s="16">
        <f>'Wk 3 Analysis  '!N26</f>
        <v>12234</v>
      </c>
      <c r="K26" s="14">
        <f>'[2]On-Order'!$I26+'Wk 2 Analysis '!Q26+'Wk 1 Analysis '!Q26+'Wk 3 Analysis  '!Q26</f>
        <v>0</v>
      </c>
      <c r="L26" s="14">
        <f>[2]Consume!$J26</f>
        <v>904</v>
      </c>
      <c r="M26" s="14">
        <f t="shared" si="3"/>
        <v>11330</v>
      </c>
      <c r="N26" s="21">
        <f>J26+'New Arrivals'!J26-[2]Consume!$J26</f>
        <v>29530</v>
      </c>
      <c r="O26" s="22">
        <f t="shared" si="4"/>
        <v>0.33879812009804283</v>
      </c>
      <c r="P26" s="23">
        <f t="shared" ref="P26" si="11">I26-M26</f>
        <v>22111.743999999992</v>
      </c>
      <c r="Q26" s="23">
        <f>B26*9</f>
        <v>11700</v>
      </c>
      <c r="R26" s="23" t="s">
        <v>51</v>
      </c>
      <c r="S26" s="24">
        <f t="shared" ref="S26" si="12">P26/Q26</f>
        <v>1.8898926495726489</v>
      </c>
    </row>
    <row r="27" spans="1:19">
      <c r="A27" s="3" t="s">
        <v>44</v>
      </c>
      <c r="B27" s="5">
        <v>102000</v>
      </c>
      <c r="C27" s="9">
        <f>'[1]Buffer Summary'!$F27</f>
        <v>155361.12</v>
      </c>
      <c r="D27" s="8">
        <f>'[1]Buffer Summary'!$D27</f>
        <v>23897.421333333332</v>
      </c>
      <c r="E27" s="7">
        <f>'[1]Buffer Summary'!$B27</f>
        <v>103574.07999999999</v>
      </c>
      <c r="F27" s="13">
        <v>14</v>
      </c>
      <c r="G27" s="14">
        <f t="shared" si="0"/>
        <v>155361.12</v>
      </c>
      <c r="H27" s="14">
        <f t="shared" si="1"/>
        <v>179258.54133333333</v>
      </c>
      <c r="I27" s="15">
        <f t="shared" si="2"/>
        <v>282832.62133333331</v>
      </c>
      <c r="J27" s="16">
        <f>'Wk 3 Analysis  '!N27</f>
        <v>260276</v>
      </c>
      <c r="K27" s="14">
        <f>'[2]On-Order'!$I27+'Wk 2 Analysis '!Q27+'Wk 1 Analysis '!Q27+'Wk 3 Analysis  '!Q27</f>
        <v>0</v>
      </c>
      <c r="L27" s="14">
        <f>[2]Consume!$J27</f>
        <v>4615</v>
      </c>
      <c r="M27" s="14">
        <f t="shared" si="3"/>
        <v>255661</v>
      </c>
      <c r="N27" s="21">
        <f>J27+'New Arrivals'!J27-[2]Consume!$J27</f>
        <v>255661</v>
      </c>
      <c r="O27" s="22">
        <f t="shared" si="4"/>
        <v>0.90393038396617587</v>
      </c>
      <c r="P27" s="14"/>
      <c r="Q27" s="14"/>
      <c r="R27" s="14"/>
      <c r="S27" s="32"/>
    </row>
    <row r="28" spans="1:19">
      <c r="A28" s="3" t="s">
        <v>45</v>
      </c>
      <c r="B28" s="5">
        <v>102000</v>
      </c>
      <c r="C28" s="9">
        <f>'[1]Buffer Summary'!$F28</f>
        <v>155281.37599999999</v>
      </c>
      <c r="D28" s="8">
        <f>'[1]Buffer Summary'!$D28</f>
        <v>24017.541333333334</v>
      </c>
      <c r="E28" s="7">
        <f>'[1]Buffer Summary'!$B28</f>
        <v>103520.91733333333</v>
      </c>
      <c r="F28" s="13">
        <v>14</v>
      </c>
      <c r="G28" s="14">
        <f t="shared" si="0"/>
        <v>155281.37599999999</v>
      </c>
      <c r="H28" s="14">
        <f t="shared" si="1"/>
        <v>179298.91733333332</v>
      </c>
      <c r="I28" s="15">
        <f t="shared" si="2"/>
        <v>282819.83466666663</v>
      </c>
      <c r="J28" s="16">
        <f>'Wk 3 Analysis  '!N28</f>
        <v>263651</v>
      </c>
      <c r="K28" s="14">
        <f>'[2]On-Order'!$I28+'Wk 2 Analysis '!Q28+'Wk 1 Analysis '!Q28+'Wk 3 Analysis  '!Q28</f>
        <v>0</v>
      </c>
      <c r="L28" s="14">
        <f>[2]Consume!$J28</f>
        <v>4205</v>
      </c>
      <c r="M28" s="14">
        <f t="shared" si="3"/>
        <v>259446</v>
      </c>
      <c r="N28" s="21">
        <f>J28+'New Arrivals'!J28-[2]Consume!$J28</f>
        <v>259446</v>
      </c>
      <c r="O28" s="22">
        <f t="shared" si="4"/>
        <v>0.91735433020737323</v>
      </c>
      <c r="P28" s="14"/>
      <c r="Q28" s="14"/>
      <c r="R28" s="14"/>
      <c r="S28" s="32"/>
    </row>
  </sheetData>
  <conditionalFormatting sqref="O3:O28">
    <cfRule type="top10" dxfId="3" priority="2" bottom="1" rank="5"/>
  </conditionalFormatting>
  <conditionalFormatting sqref="N3:N28">
    <cfRule type="cellIs" dxfId="2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D163F-E7A7-4BA5-B544-7EC625E274F4}">
  <dimension ref="A2:S28"/>
  <sheetViews>
    <sheetView tabSelected="1" workbookViewId="0">
      <selection activeCell="P4" sqref="P4"/>
    </sheetView>
  </sheetViews>
  <sheetFormatPr defaultRowHeight="15"/>
  <cols>
    <col min="4" max="4" width="11.140625" bestFit="1" customWidth="1"/>
    <col min="5" max="5" width="10.7109375" bestFit="1" customWidth="1"/>
    <col min="6" max="6" width="9.28515625" customWidth="1"/>
    <col min="10" max="10" width="8.28515625" style="17" customWidth="1"/>
    <col min="11" max="11" width="10" customWidth="1"/>
    <col min="12" max="12" width="10.5703125" customWidth="1"/>
    <col min="16" max="18" width="10.28515625" customWidth="1"/>
    <col min="19" max="19" width="10.7109375" customWidth="1"/>
  </cols>
  <sheetData>
    <row r="2" spans="1:19" ht="33">
      <c r="A2" s="1" t="s">
        <v>0</v>
      </c>
      <c r="B2" s="6" t="s">
        <v>1</v>
      </c>
      <c r="C2" s="11" t="s">
        <v>2</v>
      </c>
      <c r="D2" s="10" t="s">
        <v>3</v>
      </c>
      <c r="E2" s="12" t="s">
        <v>4</v>
      </c>
      <c r="F2" s="6" t="s">
        <v>5</v>
      </c>
      <c r="G2" s="6" t="s">
        <v>6</v>
      </c>
      <c r="H2" s="6" t="s">
        <v>7</v>
      </c>
      <c r="I2" s="18" t="s">
        <v>8</v>
      </c>
      <c r="J2" s="19" t="s">
        <v>9</v>
      </c>
      <c r="K2" s="6" t="s">
        <v>10</v>
      </c>
      <c r="L2" s="18" t="s">
        <v>11</v>
      </c>
      <c r="M2" s="20" t="s">
        <v>12</v>
      </c>
      <c r="N2" s="20" t="s">
        <v>13</v>
      </c>
      <c r="O2" s="20" t="s">
        <v>14</v>
      </c>
      <c r="P2" s="20" t="s">
        <v>15</v>
      </c>
      <c r="Q2" s="20" t="s">
        <v>16</v>
      </c>
      <c r="R2" s="20" t="s">
        <v>17</v>
      </c>
      <c r="S2" s="20" t="s">
        <v>18</v>
      </c>
    </row>
    <row r="3" spans="1:19">
      <c r="A3" s="2" t="s">
        <v>19</v>
      </c>
      <c r="B3" s="4">
        <v>850</v>
      </c>
      <c r="C3" s="9">
        <f>'[1]Buffer Summary'!$F3</f>
        <v>9705.8630864999996</v>
      </c>
      <c r="D3" s="8">
        <f>'[1]Buffer Summary'!$D3</f>
        <v>7764.6904691999998</v>
      </c>
      <c r="E3" s="7">
        <f>'[1]Buffer Summary'!$B3</f>
        <v>5546.2074779999994</v>
      </c>
      <c r="F3" s="13">
        <v>21</v>
      </c>
      <c r="G3" s="14">
        <f>C3</f>
        <v>9705.8630864999996</v>
      </c>
      <c r="H3" s="14">
        <f>C3+D3</f>
        <v>17470.5535557</v>
      </c>
      <c r="I3" s="15">
        <f>C3+D3+E3</f>
        <v>23016.761033700001</v>
      </c>
      <c r="J3" s="16">
        <f>'Wk 4 Analysis'!N3</f>
        <v>12136.1</v>
      </c>
      <c r="K3" s="14">
        <f>'[2]On-Order'!$J3+'Wk 2 Analysis '!Q3+'Wk 3 Analysis  '!Q3+'Wk 4 Analysis'!Q3</f>
        <v>5100</v>
      </c>
      <c r="L3" s="14">
        <f>[2]Consume!$K3</f>
        <v>2179.6999999999998</v>
      </c>
      <c r="M3" s="14">
        <f>J3+K3-L3</f>
        <v>15056.399999999998</v>
      </c>
      <c r="N3" s="21">
        <f>J3+'New Arrivals'!K3-[2]Consume!$K3</f>
        <v>15056.399999999998</v>
      </c>
      <c r="O3" s="22">
        <f>M3/I3</f>
        <v>0.65414938174642223</v>
      </c>
      <c r="P3" s="23">
        <f t="shared" ref="P3" si="0">I3-M3</f>
        <v>7960.3610337000027</v>
      </c>
      <c r="Q3" s="23">
        <f>B3*9</f>
        <v>7650</v>
      </c>
      <c r="R3" s="23" t="s">
        <v>50</v>
      </c>
      <c r="S3" s="24">
        <f t="shared" ref="S3" si="1">P3/Q3</f>
        <v>1.0405700697647062</v>
      </c>
    </row>
    <row r="4" spans="1:19">
      <c r="A4" s="2" t="s">
        <v>20</v>
      </c>
      <c r="B4" s="4">
        <v>700</v>
      </c>
      <c r="C4" s="9">
        <f>'[1]Buffer Summary'!$F4</f>
        <v>1225</v>
      </c>
      <c r="D4" s="8">
        <f>'[1]Buffer Summary'!$D4</f>
        <v>511.33672799999994</v>
      </c>
      <c r="E4" s="7">
        <f>'[1]Buffer Summary'!$B4</f>
        <v>700</v>
      </c>
      <c r="F4" s="13">
        <v>21</v>
      </c>
      <c r="G4" s="14">
        <f t="shared" ref="G4:G28" si="2">C4</f>
        <v>1225</v>
      </c>
      <c r="H4" s="14">
        <f t="shared" ref="H4:H28" si="3">C4+D4</f>
        <v>1736.336728</v>
      </c>
      <c r="I4" s="15">
        <f t="shared" ref="I4:I28" si="4">C4+D4+E4</f>
        <v>2436.3367280000002</v>
      </c>
      <c r="J4" s="16">
        <f>'Wk 4 Analysis'!N4</f>
        <v>2195.4</v>
      </c>
      <c r="K4" s="14">
        <f>'[2]On-Order'!$J4+'Wk 2 Analysis '!Q4+'Wk 3 Analysis  '!Q4+'Wk 4 Analysis'!Q4</f>
        <v>520</v>
      </c>
      <c r="L4" s="14">
        <f>[2]Consume!$K4</f>
        <v>108.1</v>
      </c>
      <c r="M4" s="14">
        <f t="shared" ref="M4:M28" si="5">J4+K4-L4</f>
        <v>2607.3000000000002</v>
      </c>
      <c r="N4" s="21">
        <f>J4+'New Arrivals'!K4-[2]Consume!$K4</f>
        <v>2087.3000000000002</v>
      </c>
      <c r="O4" s="22">
        <f t="shared" ref="O4:O28" si="6">M4/I4</f>
        <v>1.0701722672548406</v>
      </c>
      <c r="P4" s="14"/>
      <c r="Q4" s="14"/>
      <c r="R4" s="14"/>
      <c r="S4" s="14"/>
    </row>
    <row r="5" spans="1:19">
      <c r="A5" s="2" t="s">
        <v>21</v>
      </c>
      <c r="B5" s="4">
        <v>220</v>
      </c>
      <c r="C5" s="9">
        <f>'[1]Buffer Summary'!$F5</f>
        <v>399.88980499999997</v>
      </c>
      <c r="D5" s="8">
        <f>'[1]Buffer Summary'!$D5</f>
        <v>298.45594799999998</v>
      </c>
      <c r="E5" s="7">
        <f>'[1]Buffer Summary'!$B5</f>
        <v>228.50846000000001</v>
      </c>
      <c r="F5" s="13">
        <v>21</v>
      </c>
      <c r="G5" s="14">
        <f t="shared" si="2"/>
        <v>399.88980499999997</v>
      </c>
      <c r="H5" s="14">
        <f t="shared" si="3"/>
        <v>698.34575299999995</v>
      </c>
      <c r="I5" s="15">
        <f t="shared" si="4"/>
        <v>926.85421299999996</v>
      </c>
      <c r="J5" s="16">
        <f>'Wk 4 Analysis'!N5</f>
        <v>242.40000000000003</v>
      </c>
      <c r="K5" s="14">
        <f>'[2]On-Order'!$J5+'Wk 2 Analysis '!Q5+'Wk 3 Analysis  '!Q5+'Wk 4 Analysis'!Q5</f>
        <v>880</v>
      </c>
      <c r="L5" s="14">
        <f>[2]Consume!$K5</f>
        <v>78.2</v>
      </c>
      <c r="M5" s="14">
        <f t="shared" si="5"/>
        <v>1044.2</v>
      </c>
      <c r="N5" s="21">
        <f>J5+'New Arrivals'!K5-[2]Consume!$K5</f>
        <v>164.20000000000005</v>
      </c>
      <c r="O5" s="22">
        <f t="shared" si="6"/>
        <v>1.1266065205877207</v>
      </c>
      <c r="P5" s="14"/>
      <c r="Q5" s="14"/>
      <c r="R5" s="14"/>
      <c r="S5" s="14"/>
    </row>
    <row r="6" spans="1:19">
      <c r="A6" s="2" t="s">
        <v>22</v>
      </c>
      <c r="B6" s="4">
        <v>916</v>
      </c>
      <c r="C6" s="9">
        <f>'[1]Buffer Summary'!$F6</f>
        <v>5833.8262500000001</v>
      </c>
      <c r="D6" s="8">
        <f>'[1]Buffer Summary'!$D6</f>
        <v>4667.0609999999997</v>
      </c>
      <c r="E6" s="7">
        <f>'[1]Buffer Summary'!$B6</f>
        <v>3333.6149999999993</v>
      </c>
      <c r="F6" s="13">
        <v>21</v>
      </c>
      <c r="G6" s="14">
        <f t="shared" si="2"/>
        <v>5833.8262500000001</v>
      </c>
      <c r="H6" s="14">
        <f t="shared" si="3"/>
        <v>10500.88725</v>
      </c>
      <c r="I6" s="15">
        <f t="shared" si="4"/>
        <v>13834.50225</v>
      </c>
      <c r="J6" s="16">
        <f>'Wk 4 Analysis'!N6</f>
        <v>8541.6</v>
      </c>
      <c r="K6" s="14">
        <f>'[2]On-Order'!$J6+'Wk 2 Analysis '!Q6+'Wk 3 Analysis  '!Q6+'Wk 4 Analysis'!Q6</f>
        <v>3664</v>
      </c>
      <c r="L6" s="14">
        <f>[2]Consume!$K6</f>
        <v>1944</v>
      </c>
      <c r="M6" s="14">
        <f t="shared" si="5"/>
        <v>10261.6</v>
      </c>
      <c r="N6" s="21">
        <f>J6+'New Arrivals'!K6-[2]Consume!$K6</f>
        <v>10261.6</v>
      </c>
      <c r="O6" s="22">
        <f t="shared" si="6"/>
        <v>0.7417397326311469</v>
      </c>
      <c r="P6" s="14"/>
      <c r="Q6" s="14"/>
      <c r="R6" s="14"/>
      <c r="S6" s="14"/>
    </row>
    <row r="7" spans="1:19">
      <c r="A7" s="2" t="s">
        <v>23</v>
      </c>
      <c r="B7" s="4">
        <v>300</v>
      </c>
      <c r="C7" s="9">
        <f>'[1]Buffer Summary'!$F7</f>
        <v>1105.12941</v>
      </c>
      <c r="D7" s="8">
        <f>'[1]Buffer Summary'!$D7</f>
        <v>884.10352799999998</v>
      </c>
      <c r="E7" s="7">
        <f>'[1]Buffer Summary'!$B7</f>
        <v>631.50251999999989</v>
      </c>
      <c r="F7" s="13">
        <v>21</v>
      </c>
      <c r="G7" s="14">
        <f t="shared" si="2"/>
        <v>1105.12941</v>
      </c>
      <c r="H7" s="14">
        <f t="shared" si="3"/>
        <v>1989.2329380000001</v>
      </c>
      <c r="I7" s="15">
        <f t="shared" si="4"/>
        <v>2620.7354580000001</v>
      </c>
      <c r="J7" s="16">
        <f>'Wk 4 Analysis'!N7</f>
        <v>2049.1999999999998</v>
      </c>
      <c r="K7" s="14">
        <f>'[2]On-Order'!$J7+'Wk 2 Analysis '!Q7+'Wk 3 Analysis  '!Q7+'Wk 4 Analysis'!Q7</f>
        <v>0</v>
      </c>
      <c r="L7" s="14">
        <f>[2]Consume!$K7</f>
        <v>294.39999999999998</v>
      </c>
      <c r="M7" s="14">
        <f t="shared" si="5"/>
        <v>1754.7999999999997</v>
      </c>
      <c r="N7" s="21">
        <f>J7+'New Arrivals'!K7-[2]Consume!$K7</f>
        <v>1754.7999999999997</v>
      </c>
      <c r="O7" s="22">
        <f t="shared" si="6"/>
        <v>0.66958303427510601</v>
      </c>
      <c r="P7" s="23">
        <f t="shared" ref="P7" si="7">I7-M7</f>
        <v>865.93545800000038</v>
      </c>
      <c r="Q7" s="23">
        <f>B7*3</f>
        <v>900</v>
      </c>
      <c r="R7" s="23" t="s">
        <v>50</v>
      </c>
      <c r="S7" s="24">
        <f t="shared" ref="S7" si="8">P7/Q7</f>
        <v>0.96215050888888931</v>
      </c>
    </row>
    <row r="8" spans="1:19">
      <c r="A8" s="3" t="s">
        <v>24</v>
      </c>
      <c r="B8" s="4">
        <v>700</v>
      </c>
      <c r="C8" s="9">
        <f>'[1]Buffer Summary'!$F8</f>
        <v>14594.65</v>
      </c>
      <c r="D8" s="8">
        <f>'[1]Buffer Summary'!$D8</f>
        <v>25019.4</v>
      </c>
      <c r="E8" s="7">
        <f>'[1]Buffer Summary'!$B8</f>
        <v>8339.7999999999993</v>
      </c>
      <c r="F8" s="13">
        <v>21</v>
      </c>
      <c r="G8" s="14">
        <f t="shared" si="2"/>
        <v>14594.65</v>
      </c>
      <c r="H8" s="14">
        <f t="shared" si="3"/>
        <v>39614.050000000003</v>
      </c>
      <c r="I8" s="15">
        <f t="shared" si="4"/>
        <v>47953.850000000006</v>
      </c>
      <c r="J8" s="16">
        <f>'Wk 4 Analysis'!N8</f>
        <v>15901</v>
      </c>
      <c r="K8" s="14">
        <f>'[2]On-Order'!$J8+'Wk 2 Analysis '!Q8+'Wk 3 Analysis  '!Q8+'Wk 4 Analysis'!Q8</f>
        <v>17500</v>
      </c>
      <c r="L8" s="14">
        <f>[2]Consume!$K8</f>
        <v>0</v>
      </c>
      <c r="M8" s="14">
        <f t="shared" si="5"/>
        <v>33401</v>
      </c>
      <c r="N8" s="21">
        <f>J8+'New Arrivals'!K8-[2]Consume!$K8</f>
        <v>33401</v>
      </c>
      <c r="O8" s="22">
        <f t="shared" si="6"/>
        <v>0.69652384532211686</v>
      </c>
      <c r="P8" s="14"/>
      <c r="Q8" s="14"/>
      <c r="R8" s="14"/>
      <c r="S8" s="14"/>
    </row>
    <row r="9" spans="1:19">
      <c r="A9" s="3" t="s">
        <v>25</v>
      </c>
      <c r="B9" s="4">
        <v>850</v>
      </c>
      <c r="C9" s="9">
        <f>'[1]Buffer Summary'!$F9</f>
        <v>9705.8630864999996</v>
      </c>
      <c r="D9" s="8">
        <f>'[1]Buffer Summary'!$D9</f>
        <v>7764.6904691999998</v>
      </c>
      <c r="E9" s="7">
        <f>'[1]Buffer Summary'!$B9</f>
        <v>5546.2074779999994</v>
      </c>
      <c r="F9" s="13">
        <v>21</v>
      </c>
      <c r="G9" s="14">
        <f t="shared" si="2"/>
        <v>9705.8630864999996</v>
      </c>
      <c r="H9" s="14">
        <f t="shared" si="3"/>
        <v>17470.5535557</v>
      </c>
      <c r="I9" s="15">
        <f t="shared" si="4"/>
        <v>23016.761033700001</v>
      </c>
      <c r="J9" s="16">
        <f>'Wk 4 Analysis'!N9</f>
        <v>12136.1</v>
      </c>
      <c r="K9" s="14">
        <f>'[2]On-Order'!$J9+'Wk 2 Analysis '!Q9+'Wk 3 Analysis  '!Q9+'Wk 4 Analysis'!Q9</f>
        <v>5100</v>
      </c>
      <c r="L9" s="14">
        <f>[2]Consume!$K9</f>
        <v>2179.6999999999998</v>
      </c>
      <c r="M9" s="14">
        <f t="shared" si="5"/>
        <v>15056.399999999998</v>
      </c>
      <c r="N9" s="21">
        <f>J9+'New Arrivals'!K9-[2]Consume!$K9</f>
        <v>15056.399999999998</v>
      </c>
      <c r="O9" s="22">
        <f t="shared" si="6"/>
        <v>0.65414938174642223</v>
      </c>
      <c r="P9" s="23">
        <f t="shared" ref="P9" si="9">I9-M9</f>
        <v>7960.3610337000027</v>
      </c>
      <c r="Q9" s="23">
        <f>B9*9</f>
        <v>7650</v>
      </c>
      <c r="R9" s="23" t="s">
        <v>50</v>
      </c>
      <c r="S9" s="24">
        <f t="shared" ref="S9" si="10">P9/Q9</f>
        <v>1.0405700697647062</v>
      </c>
    </row>
    <row r="10" spans="1:19">
      <c r="A10" s="3" t="s">
        <v>26</v>
      </c>
      <c r="B10" s="5">
        <v>6272</v>
      </c>
      <c r="C10" s="9">
        <f>'[1]Buffer Summary'!$F10</f>
        <v>10976</v>
      </c>
      <c r="D10" s="8">
        <f>'[1]Buffer Summary'!$D10</f>
        <v>876.23199999999997</v>
      </c>
      <c r="E10" s="7">
        <f>'[1]Buffer Summary'!$B10</f>
        <v>6272</v>
      </c>
      <c r="F10" s="13">
        <v>21</v>
      </c>
      <c r="G10" s="14">
        <f t="shared" si="2"/>
        <v>10976</v>
      </c>
      <c r="H10" s="14">
        <f t="shared" si="3"/>
        <v>11852.232</v>
      </c>
      <c r="I10" s="15">
        <f t="shared" si="4"/>
        <v>18124.232</v>
      </c>
      <c r="J10" s="16">
        <f>'Wk 4 Analysis'!N10</f>
        <v>18488</v>
      </c>
      <c r="K10" s="14">
        <f>'[2]On-Order'!$J10+'Wk 2 Analysis '!Q10+'Wk 3 Analysis  '!Q10+'Wk 4 Analysis'!Q10</f>
        <v>0</v>
      </c>
      <c r="L10" s="14">
        <f>[2]Consume!$K10</f>
        <v>175</v>
      </c>
      <c r="M10" s="14">
        <f t="shared" si="5"/>
        <v>18313</v>
      </c>
      <c r="N10" s="21">
        <f>J10+'New Arrivals'!K10-[2]Consume!$K10</f>
        <v>18313</v>
      </c>
      <c r="O10" s="22">
        <f t="shared" si="6"/>
        <v>1.0104152275252269</v>
      </c>
      <c r="P10" s="14"/>
      <c r="Q10" s="14"/>
      <c r="R10" s="14"/>
      <c r="S10" s="14"/>
    </row>
    <row r="11" spans="1:19">
      <c r="A11" s="3" t="s">
        <v>28</v>
      </c>
      <c r="B11" s="5">
        <v>6400</v>
      </c>
      <c r="C11" s="9">
        <f>'[1]Buffer Summary'!$F11</f>
        <v>11200</v>
      </c>
      <c r="D11" s="8">
        <f>'[1]Buffer Summary'!$D11</f>
        <v>882.952</v>
      </c>
      <c r="E11" s="7">
        <f>'[1]Buffer Summary'!$B11</f>
        <v>6400</v>
      </c>
      <c r="F11" s="13">
        <v>21</v>
      </c>
      <c r="G11" s="14">
        <f t="shared" si="2"/>
        <v>11200</v>
      </c>
      <c r="H11" s="14">
        <f t="shared" si="3"/>
        <v>12082.951999999999</v>
      </c>
      <c r="I11" s="15">
        <f t="shared" si="4"/>
        <v>18482.951999999997</v>
      </c>
      <c r="J11" s="16">
        <f>'Wk 4 Analysis'!N11</f>
        <v>19398</v>
      </c>
      <c r="K11" s="14">
        <f>'[2]On-Order'!$J11+'Wk 2 Analysis '!Q11+'Wk 3 Analysis  '!Q11+'Wk 4 Analysis'!Q11</f>
        <v>0</v>
      </c>
      <c r="L11" s="14">
        <f>[2]Consume!$K11</f>
        <v>175</v>
      </c>
      <c r="M11" s="14">
        <f t="shared" si="5"/>
        <v>19223</v>
      </c>
      <c r="N11" s="21">
        <f>J11+'New Arrivals'!K11-[2]Consume!$K11</f>
        <v>19223</v>
      </c>
      <c r="O11" s="22">
        <f t="shared" si="6"/>
        <v>1.0400394915271112</v>
      </c>
      <c r="P11" s="14"/>
      <c r="Q11" s="14"/>
      <c r="R11" s="14"/>
      <c r="S11" s="14"/>
    </row>
    <row r="12" spans="1:19">
      <c r="A12" s="3" t="s">
        <v>29</v>
      </c>
      <c r="B12" s="5">
        <v>50000</v>
      </c>
      <c r="C12" s="9">
        <f>'[1]Buffer Summary'!$F12</f>
        <v>87500</v>
      </c>
      <c r="D12" s="8">
        <f>'[1]Buffer Summary'!$D12</f>
        <v>9435.8879999999972</v>
      </c>
      <c r="E12" s="7">
        <f>'[1]Buffer Summary'!$B12</f>
        <v>50000</v>
      </c>
      <c r="F12" s="13">
        <v>21</v>
      </c>
      <c r="G12" s="14">
        <f t="shared" si="2"/>
        <v>87500</v>
      </c>
      <c r="H12" s="14">
        <f t="shared" si="3"/>
        <v>96935.887999999992</v>
      </c>
      <c r="I12" s="15">
        <f t="shared" si="4"/>
        <v>146935.88799999998</v>
      </c>
      <c r="J12" s="16">
        <f>'Wk 4 Analysis'!N12</f>
        <v>152117</v>
      </c>
      <c r="K12" s="14">
        <f>'[2]On-Order'!$J12+'Wk 2 Analysis '!Q12+'Wk 3 Analysis  '!Q12+'Wk 4 Analysis'!Q12</f>
        <v>0</v>
      </c>
      <c r="L12" s="14">
        <f>[2]Consume!$K12</f>
        <v>1801</v>
      </c>
      <c r="M12" s="14">
        <f t="shared" si="5"/>
        <v>150316</v>
      </c>
      <c r="N12" s="21">
        <f>J12+'New Arrivals'!K12-[2]Consume!$K12</f>
        <v>150316</v>
      </c>
      <c r="O12" s="22">
        <f t="shared" si="6"/>
        <v>1.0230039920540039</v>
      </c>
      <c r="P12" s="14"/>
      <c r="Q12" s="14"/>
      <c r="R12" s="14"/>
      <c r="S12" s="14"/>
    </row>
    <row r="13" spans="1:19">
      <c r="A13" s="3" t="s">
        <v>30</v>
      </c>
      <c r="B13" s="4">
        <v>450</v>
      </c>
      <c r="C13" s="9">
        <f>'[1]Buffer Summary'!$F13</f>
        <v>22731.4986899</v>
      </c>
      <c r="D13" s="8">
        <f>'[1]Buffer Summary'!$D13</f>
        <v>18185.19895192</v>
      </c>
      <c r="E13" s="7">
        <f>'[1]Buffer Summary'!$B13</f>
        <v>12989.427822799998</v>
      </c>
      <c r="F13" s="13">
        <v>21</v>
      </c>
      <c r="G13" s="14">
        <f t="shared" si="2"/>
        <v>22731.4986899</v>
      </c>
      <c r="H13" s="14">
        <f t="shared" si="3"/>
        <v>40916.697641819999</v>
      </c>
      <c r="I13" s="15">
        <f t="shared" si="4"/>
        <v>53906.125464619996</v>
      </c>
      <c r="J13" s="16">
        <f>'Wk 4 Analysis'!N13</f>
        <v>26117.600000000002</v>
      </c>
      <c r="K13" s="14">
        <f>'[2]On-Order'!$J13+'Wk 2 Analysis '!Q13+'Wk 3 Analysis  '!Q13+'Wk 4 Analysis'!Q13</f>
        <v>10800</v>
      </c>
      <c r="L13" s="14">
        <f>[2]Consume!$K13</f>
        <v>4700.3</v>
      </c>
      <c r="M13" s="14">
        <f t="shared" si="5"/>
        <v>32217.300000000007</v>
      </c>
      <c r="N13" s="21">
        <f>J13+'New Arrivals'!K13-[2]Consume!$K13</f>
        <v>34917.300000000003</v>
      </c>
      <c r="O13" s="22">
        <f t="shared" si="6"/>
        <v>0.59765564158650331</v>
      </c>
      <c r="P13" s="23">
        <f t="shared" ref="P13" si="11">I13-M13</f>
        <v>21688.825464619989</v>
      </c>
      <c r="Q13" s="23">
        <f>B13*40</f>
        <v>18000</v>
      </c>
      <c r="R13" s="23" t="s">
        <v>50</v>
      </c>
      <c r="S13" s="24">
        <f t="shared" ref="S13" si="12">P13/Q13</f>
        <v>1.2049347480344439</v>
      </c>
    </row>
    <row r="14" spans="1:19">
      <c r="A14" s="3" t="s">
        <v>31</v>
      </c>
      <c r="B14" s="4">
        <v>750</v>
      </c>
      <c r="C14" s="9">
        <f>'[1]Buffer Summary'!$F14</f>
        <v>4069.1037274999994</v>
      </c>
      <c r="D14" s="8">
        <f>'[1]Buffer Summary'!$D14</f>
        <v>3255.2829820000006</v>
      </c>
      <c r="E14" s="7">
        <f>'[1]Buffer Summary'!$B14</f>
        <v>2325.2021299999997</v>
      </c>
      <c r="F14" s="13">
        <v>21</v>
      </c>
      <c r="G14" s="14">
        <f t="shared" si="2"/>
        <v>4069.1037274999994</v>
      </c>
      <c r="H14" s="14">
        <f t="shared" si="3"/>
        <v>7324.3867095000005</v>
      </c>
      <c r="I14" s="15">
        <f t="shared" si="4"/>
        <v>9649.5888395000002</v>
      </c>
      <c r="J14" s="16">
        <f>'Wk 4 Analysis'!N14</f>
        <v>8883.1</v>
      </c>
      <c r="K14" s="14">
        <f>'[2]On-Order'!$J14+'Wk 2 Analysis '!Q14+'Wk 3 Analysis  '!Q14+'Wk 4 Analysis'!Q14</f>
        <v>12000</v>
      </c>
      <c r="L14" s="14">
        <f>[2]Consume!$K14</f>
        <v>674.8</v>
      </c>
      <c r="M14" s="14">
        <f t="shared" si="5"/>
        <v>20208.3</v>
      </c>
      <c r="N14" s="21">
        <f>J14+'New Arrivals'!K14-[2]Consume!$K14</f>
        <v>8208.3000000000011</v>
      </c>
      <c r="O14" s="22">
        <f t="shared" si="6"/>
        <v>2.0942135811298574</v>
      </c>
      <c r="P14" s="14"/>
      <c r="Q14" s="14"/>
      <c r="R14" s="14"/>
      <c r="S14" s="14"/>
    </row>
    <row r="15" spans="1:19">
      <c r="A15" s="3" t="s">
        <v>32</v>
      </c>
      <c r="B15" s="4">
        <v>700</v>
      </c>
      <c r="C15" s="9">
        <f>'[1]Buffer Summary'!$F15</f>
        <v>1666.2783549999999</v>
      </c>
      <c r="D15" s="8">
        <f>'[1]Buffer Summary'!$D15</f>
        <v>1307.794124</v>
      </c>
      <c r="E15" s="7">
        <f>'[1]Buffer Summary'!$B15</f>
        <v>952.15905999999995</v>
      </c>
      <c r="F15" s="13">
        <v>21</v>
      </c>
      <c r="G15" s="14">
        <f t="shared" si="2"/>
        <v>1666.2783549999999</v>
      </c>
      <c r="H15" s="14">
        <f t="shared" si="3"/>
        <v>2974.0724789999999</v>
      </c>
      <c r="I15" s="15">
        <f t="shared" si="4"/>
        <v>3926.2315389999999</v>
      </c>
      <c r="J15" s="16">
        <f>'Wk 4 Analysis'!N15</f>
        <v>2859.8</v>
      </c>
      <c r="K15" s="14">
        <f>'[2]On-Order'!$J15+'Wk 2 Analysis '!Q15+'Wk 3 Analysis  '!Q15+'Wk 4 Analysis'!Q15</f>
        <v>0</v>
      </c>
      <c r="L15" s="14">
        <f>[2]Consume!$K15</f>
        <v>231.5</v>
      </c>
      <c r="M15" s="14">
        <f t="shared" si="5"/>
        <v>2628.3</v>
      </c>
      <c r="N15" s="21">
        <f>J15+'New Arrivals'!K15-[2]Consume!$K15</f>
        <v>2628.3</v>
      </c>
      <c r="O15" s="22">
        <f t="shared" si="6"/>
        <v>0.66942053057559125</v>
      </c>
      <c r="P15" s="23">
        <f t="shared" ref="P15" si="13">I15-M15</f>
        <v>1297.9315389999997</v>
      </c>
      <c r="Q15" s="23">
        <f>B15*9</f>
        <v>6300</v>
      </c>
      <c r="R15" s="23" t="s">
        <v>50</v>
      </c>
      <c r="S15" s="24">
        <f t="shared" ref="S15" si="14">P15/Q15</f>
        <v>0.20602087920634915</v>
      </c>
    </row>
    <row r="16" spans="1:19">
      <c r="A16" s="3" t="s">
        <v>33</v>
      </c>
      <c r="B16" s="4">
        <v>750</v>
      </c>
      <c r="C16" s="9">
        <f>'[1]Buffer Summary'!$F16</f>
        <v>2259.6644349999997</v>
      </c>
      <c r="D16" s="8">
        <f>'[1]Buffer Summary'!$D16</f>
        <v>1807.7315480000002</v>
      </c>
      <c r="E16" s="7">
        <f>'[1]Buffer Summary'!$B16</f>
        <v>1291.2368199999999</v>
      </c>
      <c r="F16" s="13">
        <v>21</v>
      </c>
      <c r="G16" s="14">
        <f t="shared" si="2"/>
        <v>2259.6644349999997</v>
      </c>
      <c r="H16" s="14">
        <f t="shared" si="3"/>
        <v>4067.3959829999999</v>
      </c>
      <c r="I16" s="15">
        <f t="shared" si="4"/>
        <v>5358.6328029999995</v>
      </c>
      <c r="J16" s="16">
        <f>'Wk 4 Analysis'!N16</f>
        <v>4724.3999999999987</v>
      </c>
      <c r="K16" s="14">
        <f>'[2]On-Order'!$J16+'Wk 2 Analysis '!Q16+'Wk 3 Analysis  '!Q16+'Wk 4 Analysis'!Q16</f>
        <v>0</v>
      </c>
      <c r="L16" s="14">
        <f>[2]Consume!$K16</f>
        <v>298.7</v>
      </c>
      <c r="M16" s="14">
        <f t="shared" si="5"/>
        <v>4425.6999999999989</v>
      </c>
      <c r="N16" s="21">
        <f>J16+'New Arrivals'!K16-[2]Consume!$K16</f>
        <v>4425.6999999999989</v>
      </c>
      <c r="O16" s="22">
        <f t="shared" si="6"/>
        <v>0.8259009644255334</v>
      </c>
      <c r="P16" s="14"/>
      <c r="Q16" s="14"/>
      <c r="R16" s="14"/>
      <c r="S16" s="14"/>
    </row>
    <row r="17" spans="1:19">
      <c r="A17" s="3" t="s">
        <v>34</v>
      </c>
      <c r="B17" s="5">
        <v>2475</v>
      </c>
      <c r="C17" s="9">
        <f>'[1]Buffer Summary'!$F17</f>
        <v>29302.883610000001</v>
      </c>
      <c r="D17" s="8">
        <f>'[1]Buffer Summary'!$D17</f>
        <v>23442.306887999999</v>
      </c>
      <c r="E17" s="7">
        <f>'[1]Buffer Summary'!$B17</f>
        <v>16744.504919999999</v>
      </c>
      <c r="F17" s="13">
        <v>21</v>
      </c>
      <c r="G17" s="14">
        <f t="shared" si="2"/>
        <v>29302.883610000001</v>
      </c>
      <c r="H17" s="14">
        <f t="shared" si="3"/>
        <v>52745.190497999996</v>
      </c>
      <c r="I17" s="15">
        <f t="shared" si="4"/>
        <v>69489.695417999988</v>
      </c>
      <c r="J17" s="16">
        <f>'Wk 4 Analysis'!N17</f>
        <v>43359.199999999997</v>
      </c>
      <c r="K17" s="14">
        <f>'[2]On-Order'!$J17+'Wk 2 Analysis '!Q17+'Wk 3 Analysis  '!Q17+'Wk 4 Analysis'!Q17</f>
        <v>7425</v>
      </c>
      <c r="L17" s="14">
        <f>[2]Consume!$K17</f>
        <v>1930.4</v>
      </c>
      <c r="M17" s="14">
        <f t="shared" si="5"/>
        <v>48853.799999999996</v>
      </c>
      <c r="N17" s="21">
        <f>J17+'New Arrivals'!K17-[2]Consume!$K17</f>
        <v>41428.799999999996</v>
      </c>
      <c r="O17" s="22">
        <f t="shared" si="6"/>
        <v>0.70303661148794361</v>
      </c>
      <c r="P17" s="14"/>
      <c r="Q17" s="14"/>
      <c r="R17" s="14"/>
      <c r="S17" s="14"/>
    </row>
    <row r="18" spans="1:19">
      <c r="A18" s="3" t="s">
        <v>35</v>
      </c>
      <c r="B18" s="5">
        <v>1000</v>
      </c>
      <c r="C18" s="9">
        <f>'[1]Buffer Summary'!$F18</f>
        <v>4449.3902600000001</v>
      </c>
      <c r="D18" s="8">
        <f>'[1]Buffer Summary'!$D18</f>
        <v>3559.5122080000001</v>
      </c>
      <c r="E18" s="7">
        <f>'[1]Buffer Summary'!$B18</f>
        <v>2542.5087199999994</v>
      </c>
      <c r="F18" s="13">
        <v>21</v>
      </c>
      <c r="G18" s="14">
        <f t="shared" si="2"/>
        <v>4449.3902600000001</v>
      </c>
      <c r="H18" s="14">
        <f t="shared" si="3"/>
        <v>8008.9024680000002</v>
      </c>
      <c r="I18" s="15">
        <f t="shared" si="4"/>
        <v>10551.411188</v>
      </c>
      <c r="J18" s="16">
        <f>'Wk 4 Analysis'!N18</f>
        <v>1960.4000000000008</v>
      </c>
      <c r="K18" s="14">
        <f>'[2]On-Order'!$J18+'Wk 2 Analysis '!Q18+'Wk 3 Analysis  '!Q18+'Wk 4 Analysis'!Q18</f>
        <v>9000</v>
      </c>
      <c r="L18" s="14">
        <f>[2]Consume!$K18</f>
        <v>1424.4</v>
      </c>
      <c r="M18" s="14">
        <f t="shared" si="5"/>
        <v>9536.0000000000018</v>
      </c>
      <c r="N18" s="21">
        <f>J18+'New Arrivals'!K18-[2]Consume!$K18</f>
        <v>536.00000000000068</v>
      </c>
      <c r="O18" s="22">
        <f t="shared" si="6"/>
        <v>0.90376536655544104</v>
      </c>
      <c r="P18" s="14"/>
      <c r="Q18" s="14"/>
      <c r="R18" s="14"/>
      <c r="S18" s="14"/>
    </row>
    <row r="19" spans="1:19">
      <c r="A19" s="3" t="s">
        <v>36</v>
      </c>
      <c r="B19" s="4">
        <v>20</v>
      </c>
      <c r="C19" s="9">
        <f>'[1]Buffer Summary'!$F19</f>
        <v>35.079274999999996</v>
      </c>
      <c r="D19" s="8">
        <f>'[1]Buffer Summary'!$D19</f>
        <v>37.999866666666662</v>
      </c>
      <c r="E19" s="7">
        <f>'[1]Buffer Summary'!$B19</f>
        <v>20.045300000000001</v>
      </c>
      <c r="F19" s="13">
        <v>44</v>
      </c>
      <c r="G19" s="14">
        <f t="shared" si="2"/>
        <v>35.079274999999996</v>
      </c>
      <c r="H19" s="14">
        <f t="shared" si="3"/>
        <v>73.079141666666658</v>
      </c>
      <c r="I19" s="15">
        <f t="shared" si="4"/>
        <v>93.124441666666655</v>
      </c>
      <c r="J19" s="16">
        <f>'Wk 4 Analysis'!N19</f>
        <v>96.7</v>
      </c>
      <c r="K19" s="14">
        <f>'[2]On-Order'!$J19+'Wk 2 Analysis '!Q19+'Wk 3 Analysis  '!Q19+'Wk 4 Analysis'!Q19</f>
        <v>0</v>
      </c>
      <c r="L19" s="14">
        <f>[2]Consume!$K19</f>
        <v>3.7</v>
      </c>
      <c r="M19" s="14">
        <f t="shared" si="5"/>
        <v>93</v>
      </c>
      <c r="N19" s="21">
        <f>J19+'New Arrivals'!K19-[2]Consume!$K19</f>
        <v>93</v>
      </c>
      <c r="O19" s="22">
        <f t="shared" si="6"/>
        <v>0.99866370563474527</v>
      </c>
      <c r="P19" s="14"/>
      <c r="Q19" s="14"/>
      <c r="R19" s="14"/>
      <c r="S19" s="14"/>
    </row>
    <row r="20" spans="1:19">
      <c r="A20" s="3" t="s">
        <v>37</v>
      </c>
      <c r="B20" s="4">
        <v>15</v>
      </c>
      <c r="C20" s="9">
        <f>'[1]Buffer Summary'!$F20</f>
        <v>51.674885500000002</v>
      </c>
      <c r="D20" s="8">
        <f>'[1]Buffer Summary'!$D20</f>
        <v>41.339908400000006</v>
      </c>
      <c r="E20" s="7">
        <f>'[1]Buffer Summary'!$B20</f>
        <v>29.528506000000004</v>
      </c>
      <c r="F20" s="13">
        <v>21</v>
      </c>
      <c r="G20" s="14">
        <f t="shared" si="2"/>
        <v>51.674885500000002</v>
      </c>
      <c r="H20" s="14">
        <f t="shared" si="3"/>
        <v>93.014793900000001</v>
      </c>
      <c r="I20" s="15">
        <f t="shared" si="4"/>
        <v>122.54329990000001</v>
      </c>
      <c r="J20" s="16">
        <f>'Wk 4 Analysis'!N20</f>
        <v>95.700000000000017</v>
      </c>
      <c r="K20" s="14">
        <f>'[2]On-Order'!$J20+'Wk 2 Analysis '!Q20+'Wk 3 Analysis  '!Q20+'Wk 4 Analysis'!Q20</f>
        <v>0</v>
      </c>
      <c r="L20" s="14">
        <f>[2]Consume!$K20</f>
        <v>6.5</v>
      </c>
      <c r="M20" s="14">
        <f t="shared" si="5"/>
        <v>89.200000000000017</v>
      </c>
      <c r="N20" s="21">
        <f>J20+'New Arrivals'!K20-[2]Consume!$K20</f>
        <v>89.200000000000017</v>
      </c>
      <c r="O20" s="22">
        <f t="shared" si="6"/>
        <v>0.72790597342156294</v>
      </c>
      <c r="P20" s="14"/>
      <c r="Q20" s="14"/>
      <c r="R20" s="14"/>
      <c r="S20" s="14"/>
    </row>
    <row r="21" spans="1:19">
      <c r="A21" s="3" t="s">
        <v>38</v>
      </c>
      <c r="B21" s="4">
        <v>20</v>
      </c>
      <c r="C21" s="9">
        <f>'[1]Buffer Summary'!$F21</f>
        <v>78.086971199999979</v>
      </c>
      <c r="D21" s="8">
        <f>'[1]Buffer Summary'!$D21</f>
        <v>130.88863743999997</v>
      </c>
      <c r="E21" s="7">
        <f>'[1]Buffer Summary'!$B21</f>
        <v>44.621126399999994</v>
      </c>
      <c r="F21" s="13">
        <v>44</v>
      </c>
      <c r="G21" s="14">
        <f t="shared" si="2"/>
        <v>78.086971199999979</v>
      </c>
      <c r="H21" s="14">
        <f t="shared" si="3"/>
        <v>208.97560863999996</v>
      </c>
      <c r="I21" s="15">
        <f t="shared" si="4"/>
        <v>253.59673503999994</v>
      </c>
      <c r="J21" s="16">
        <f>'Wk 4 Analysis'!N21</f>
        <v>133.4</v>
      </c>
      <c r="K21" s="14">
        <f>'[2]On-Order'!$J21+'Wk 2 Analysis '!Q21+'Wk 3 Analysis  '!Q21+'Wk 4 Analysis'!Q21</f>
        <v>60</v>
      </c>
      <c r="L21" s="14">
        <f>[2]Consume!$K21</f>
        <v>13.6</v>
      </c>
      <c r="M21" s="14">
        <f t="shared" si="5"/>
        <v>179.8</v>
      </c>
      <c r="N21" s="21">
        <f>J21+'New Arrivals'!K21-[2]Consume!$K21</f>
        <v>119.80000000000001</v>
      </c>
      <c r="O21" s="22">
        <f t="shared" si="6"/>
        <v>0.70899966425687644</v>
      </c>
      <c r="P21" s="14"/>
      <c r="Q21" s="14"/>
      <c r="R21" s="14"/>
      <c r="S21" s="14"/>
    </row>
    <row r="22" spans="1:19">
      <c r="A22" s="3" t="s">
        <v>39</v>
      </c>
      <c r="B22" s="5">
        <v>1000</v>
      </c>
      <c r="C22" s="9">
        <f>'[1]Buffer Summary'!$F22</f>
        <v>2019.8313333333331</v>
      </c>
      <c r="D22" s="8">
        <f>'[1]Buffer Summary'!$D22</f>
        <v>2912.6439999999998</v>
      </c>
      <c r="E22" s="7">
        <f>'[1]Buffer Summary'!$B22</f>
        <v>1154.1893333333333</v>
      </c>
      <c r="F22" s="13">
        <v>21</v>
      </c>
      <c r="G22" s="14">
        <f t="shared" si="2"/>
        <v>2019.8313333333331</v>
      </c>
      <c r="H22" s="14">
        <f t="shared" si="3"/>
        <v>4932.4753333333329</v>
      </c>
      <c r="I22" s="15">
        <f t="shared" si="4"/>
        <v>6086.6646666666657</v>
      </c>
      <c r="J22" s="16">
        <f>'Wk 4 Analysis'!N22</f>
        <v>-47</v>
      </c>
      <c r="K22" s="14">
        <f>'[2]On-Order'!$J22+'Wk 2 Analysis '!Q22+'Wk 3 Analysis  '!Q22+'Wk 4 Analysis'!Q22</f>
        <v>7000</v>
      </c>
      <c r="L22" s="14">
        <f>[2]Consume!$K22</f>
        <v>434</v>
      </c>
      <c r="M22" s="14">
        <f t="shared" si="5"/>
        <v>6519</v>
      </c>
      <c r="N22" s="21">
        <f>J22+'New Arrivals'!K22-[2]Consume!$K22</f>
        <v>1519</v>
      </c>
      <c r="O22" s="22">
        <f t="shared" si="6"/>
        <v>1.0710299247633928</v>
      </c>
      <c r="P22" s="14"/>
      <c r="Q22" s="14"/>
      <c r="R22" s="14"/>
      <c r="S22" s="14"/>
    </row>
    <row r="23" spans="1:19">
      <c r="A23" s="3" t="s">
        <v>40</v>
      </c>
      <c r="B23" s="4">
        <v>990</v>
      </c>
      <c r="C23" s="9">
        <f>'[1]Buffer Summary'!$F23</f>
        <v>60066.551999999989</v>
      </c>
      <c r="D23" s="8">
        <f>'[1]Buffer Summary'!$D23</f>
        <v>13348.122666666666</v>
      </c>
      <c r="E23" s="7">
        <f>'[1]Buffer Summary'!$B23</f>
        <v>40044.367999999995</v>
      </c>
      <c r="F23" s="13">
        <v>14</v>
      </c>
      <c r="G23" s="14">
        <f t="shared" si="2"/>
        <v>60066.551999999989</v>
      </c>
      <c r="H23" s="14">
        <f t="shared" si="3"/>
        <v>73414.674666666659</v>
      </c>
      <c r="I23" s="15">
        <f t="shared" si="4"/>
        <v>113459.04266666665</v>
      </c>
      <c r="J23" s="16">
        <f>'Wk 4 Analysis'!N23</f>
        <v>99255</v>
      </c>
      <c r="K23" s="14">
        <f>'[2]On-Order'!$J23+'Wk 2 Analysis '!Q23+'Wk 3 Analysis  '!Q23+'Wk 4 Analysis'!Q23</f>
        <v>0</v>
      </c>
      <c r="L23" s="14">
        <f>[2]Consume!$K23</f>
        <v>6238</v>
      </c>
      <c r="M23" s="14">
        <f t="shared" si="5"/>
        <v>93017</v>
      </c>
      <c r="N23" s="21">
        <f>J23+'New Arrivals'!K23-[2]Consume!$K23</f>
        <v>93017</v>
      </c>
      <c r="O23" s="22">
        <f t="shared" si="6"/>
        <v>0.8198288810992026</v>
      </c>
      <c r="P23" s="14"/>
      <c r="Q23" s="14"/>
      <c r="R23" s="14"/>
      <c r="S23" s="32"/>
    </row>
    <row r="24" spans="1:19">
      <c r="A24" s="3" t="s">
        <v>41</v>
      </c>
      <c r="B24" s="4">
        <v>990</v>
      </c>
      <c r="C24" s="9">
        <f>'[1]Buffer Summary'!$F24</f>
        <v>107959.068</v>
      </c>
      <c r="D24" s="8">
        <f>'[1]Buffer Summary'!$D24</f>
        <v>23990.904000000002</v>
      </c>
      <c r="E24" s="7">
        <f>'[1]Buffer Summary'!$B24</f>
        <v>71972.712</v>
      </c>
      <c r="F24" s="13">
        <v>14</v>
      </c>
      <c r="G24" s="14">
        <f t="shared" si="2"/>
        <v>107959.068</v>
      </c>
      <c r="H24" s="14">
        <f t="shared" si="3"/>
        <v>131949.97200000001</v>
      </c>
      <c r="I24" s="15">
        <f t="shared" si="4"/>
        <v>203922.68400000001</v>
      </c>
      <c r="J24" s="16">
        <f>'Wk 4 Analysis'!N24</f>
        <v>193554</v>
      </c>
      <c r="K24" s="14">
        <f>'[2]On-Order'!$J24+'Wk 2 Analysis '!Q24+'Wk 3 Analysis  '!Q24+'Wk 4 Analysis'!Q24</f>
        <v>0</v>
      </c>
      <c r="L24" s="14">
        <f>[2]Consume!$K24</f>
        <v>9913</v>
      </c>
      <c r="M24" s="14">
        <f t="shared" si="5"/>
        <v>183641</v>
      </c>
      <c r="N24" s="21">
        <f>J24+'New Arrivals'!K24-[2]Consume!$K24</f>
        <v>183641</v>
      </c>
      <c r="O24" s="22">
        <f t="shared" si="6"/>
        <v>0.90054228591851992</v>
      </c>
      <c r="P24" s="14"/>
      <c r="Q24" s="14"/>
      <c r="R24" s="14"/>
      <c r="S24" s="32"/>
    </row>
    <row r="25" spans="1:19">
      <c r="A25" s="3" t="s">
        <v>42</v>
      </c>
      <c r="B25" s="4">
        <v>202</v>
      </c>
      <c r="C25" s="9">
        <f>'[1]Buffer Summary'!$F25</f>
        <v>1135.0720919999999</v>
      </c>
      <c r="D25" s="8">
        <f>'[1]Buffer Summary'!$D25</f>
        <v>252.23824266666665</v>
      </c>
      <c r="E25" s="7">
        <f>'[1]Buffer Summary'!$B25</f>
        <v>756.71472799999992</v>
      </c>
      <c r="F25" s="13">
        <v>14</v>
      </c>
      <c r="G25" s="14">
        <f t="shared" si="2"/>
        <v>1135.0720919999999</v>
      </c>
      <c r="H25" s="14">
        <f t="shared" si="3"/>
        <v>1387.3103346666664</v>
      </c>
      <c r="I25" s="15">
        <f t="shared" si="4"/>
        <v>2144.0250626666666</v>
      </c>
      <c r="J25" s="16">
        <f>'Wk 4 Analysis'!N25</f>
        <v>1778.4</v>
      </c>
      <c r="K25" s="14">
        <f>'[2]On-Order'!$J25+'Wk 2 Analysis '!Q25+'Wk 3 Analysis  '!Q25+'Wk 4 Analysis'!Q25</f>
        <v>0</v>
      </c>
      <c r="L25" s="14">
        <f>[2]Consume!$K25</f>
        <v>109.3</v>
      </c>
      <c r="M25" s="14">
        <f t="shared" si="5"/>
        <v>1669.1000000000001</v>
      </c>
      <c r="N25" s="21">
        <f>J25+'New Arrivals'!K25-[2]Consume!$K25</f>
        <v>1669.1000000000001</v>
      </c>
      <c r="O25" s="22">
        <f t="shared" si="6"/>
        <v>0.7784890340433005</v>
      </c>
      <c r="P25" s="14"/>
      <c r="Q25" s="14"/>
      <c r="R25" s="14"/>
      <c r="S25" s="32"/>
    </row>
    <row r="26" spans="1:19">
      <c r="A26" s="3" t="s">
        <v>43</v>
      </c>
      <c r="B26" s="5">
        <v>1300</v>
      </c>
      <c r="C26" s="9">
        <f>'[1]Buffer Summary'!$F26</f>
        <v>16720.871999999996</v>
      </c>
      <c r="D26" s="8">
        <f>'[1]Buffer Summary'!$D26</f>
        <v>5573.6239999999998</v>
      </c>
      <c r="E26" s="7">
        <f>'[1]Buffer Summary'!$B26</f>
        <v>11147.248</v>
      </c>
      <c r="F26" s="13">
        <v>14</v>
      </c>
      <c r="G26" s="14">
        <f t="shared" si="2"/>
        <v>16720.871999999996</v>
      </c>
      <c r="H26" s="14">
        <f t="shared" si="3"/>
        <v>22294.495999999996</v>
      </c>
      <c r="I26" s="15">
        <f t="shared" si="4"/>
        <v>33441.743999999992</v>
      </c>
      <c r="J26" s="16">
        <f>'Wk 4 Analysis'!N26</f>
        <v>29530</v>
      </c>
      <c r="K26" s="14">
        <f>'[2]On-Order'!$J26+'Wk 2 Analysis '!Q26+'Wk 3 Analysis  '!Q26+'Wk 4 Analysis'!Q26</f>
        <v>11700</v>
      </c>
      <c r="L26" s="14">
        <f>[2]Consume!$K26</f>
        <v>4173</v>
      </c>
      <c r="M26" s="14">
        <f t="shared" si="5"/>
        <v>37057</v>
      </c>
      <c r="N26" s="21">
        <f>J26+'New Arrivals'!K26-[2]Consume!$K26</f>
        <v>25357</v>
      </c>
      <c r="O26" s="22">
        <f t="shared" si="6"/>
        <v>1.108106084419521</v>
      </c>
      <c r="P26" s="14"/>
      <c r="Q26" s="14"/>
      <c r="R26" s="14"/>
      <c r="S26" s="32"/>
    </row>
    <row r="27" spans="1:19">
      <c r="A27" s="3" t="s">
        <v>44</v>
      </c>
      <c r="B27" s="5">
        <v>102000</v>
      </c>
      <c r="C27" s="9">
        <f>'[1]Buffer Summary'!$F27</f>
        <v>155361.12</v>
      </c>
      <c r="D27" s="8">
        <f>'[1]Buffer Summary'!$D27</f>
        <v>23897.421333333332</v>
      </c>
      <c r="E27" s="7">
        <f>'[1]Buffer Summary'!$B27</f>
        <v>103574.07999999999</v>
      </c>
      <c r="F27" s="13">
        <v>14</v>
      </c>
      <c r="G27" s="14">
        <f t="shared" si="2"/>
        <v>155361.12</v>
      </c>
      <c r="H27" s="14">
        <f t="shared" si="3"/>
        <v>179258.54133333333</v>
      </c>
      <c r="I27" s="15">
        <f t="shared" si="4"/>
        <v>282832.62133333331</v>
      </c>
      <c r="J27" s="16">
        <f>'Wk 4 Analysis'!N27</f>
        <v>255661</v>
      </c>
      <c r="K27" s="14">
        <f>'[2]On-Order'!$J27+'Wk 2 Analysis '!Q27+'Wk 3 Analysis  '!Q27+'Wk 4 Analysis'!Q27</f>
        <v>0</v>
      </c>
      <c r="L27" s="14">
        <f>[2]Consume!$K27</f>
        <v>10463</v>
      </c>
      <c r="M27" s="14">
        <f t="shared" si="5"/>
        <v>245198</v>
      </c>
      <c r="N27" s="21">
        <f>J27+'New Arrivals'!K27-[2]Consume!$K27</f>
        <v>245198</v>
      </c>
      <c r="O27" s="22">
        <f t="shared" si="6"/>
        <v>0.86693677286617199</v>
      </c>
      <c r="P27" s="14"/>
      <c r="Q27" s="14"/>
      <c r="R27" s="14"/>
      <c r="S27" s="32"/>
    </row>
    <row r="28" spans="1:19">
      <c r="A28" s="3" t="s">
        <v>45</v>
      </c>
      <c r="B28" s="5">
        <v>102000</v>
      </c>
      <c r="C28" s="9">
        <f>'[1]Buffer Summary'!$F28</f>
        <v>155281.37599999999</v>
      </c>
      <c r="D28" s="8">
        <f>'[1]Buffer Summary'!$D28</f>
        <v>24017.541333333334</v>
      </c>
      <c r="E28" s="7">
        <f>'[1]Buffer Summary'!$B28</f>
        <v>103520.91733333333</v>
      </c>
      <c r="F28" s="13">
        <v>14</v>
      </c>
      <c r="G28" s="14">
        <f t="shared" si="2"/>
        <v>155281.37599999999</v>
      </c>
      <c r="H28" s="14">
        <f t="shared" si="3"/>
        <v>179298.91733333332</v>
      </c>
      <c r="I28" s="15">
        <f t="shared" si="4"/>
        <v>282819.83466666663</v>
      </c>
      <c r="J28" s="16">
        <f>'Wk 4 Analysis'!N28</f>
        <v>259446</v>
      </c>
      <c r="K28" s="14">
        <f>'[2]On-Order'!$J28+'Wk 2 Analysis '!Q28+'Wk 3 Analysis  '!Q28+'Wk 4 Analysis'!Q28</f>
        <v>0</v>
      </c>
      <c r="L28" s="14">
        <f>[2]Consume!$K28</f>
        <v>7709</v>
      </c>
      <c r="M28" s="14">
        <f t="shared" si="5"/>
        <v>251737</v>
      </c>
      <c r="N28" s="21">
        <f>J28+'New Arrivals'!K28-[2]Consume!$K28</f>
        <v>251737</v>
      </c>
      <c r="O28" s="22">
        <f t="shared" si="6"/>
        <v>0.89009669458543783</v>
      </c>
      <c r="P28" s="14"/>
      <c r="Q28" s="14"/>
      <c r="R28" s="14"/>
      <c r="S28" s="32"/>
    </row>
  </sheetData>
  <conditionalFormatting sqref="O3:O28">
    <cfRule type="top10" dxfId="1" priority="2" bottom="1" rank="5"/>
  </conditionalFormatting>
  <conditionalFormatting sqref="N3:N28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855A3-4BDD-40AC-8077-856828F25B77}">
  <dimension ref="A1:N434"/>
  <sheetViews>
    <sheetView workbookViewId="0">
      <selection activeCell="D1" sqref="D1:K1"/>
    </sheetView>
  </sheetViews>
  <sheetFormatPr defaultRowHeight="15"/>
  <cols>
    <col min="1" max="1" width="15.28515625" style="38" bestFit="1" customWidth="1"/>
    <col min="2" max="3" width="8.85546875" style="38"/>
    <col min="4" max="11" width="13.5703125" customWidth="1"/>
    <col min="12" max="14" width="13.5703125" style="37" customWidth="1"/>
  </cols>
  <sheetData>
    <row r="1" spans="1:14" s="38" customFormat="1">
      <c r="D1" s="39" t="s">
        <v>52</v>
      </c>
      <c r="E1" s="39" t="s">
        <v>53</v>
      </c>
      <c r="F1" s="39" t="s">
        <v>54</v>
      </c>
      <c r="G1" s="40" t="s">
        <v>27</v>
      </c>
      <c r="H1" s="40" t="s">
        <v>46</v>
      </c>
      <c r="I1" s="40" t="s">
        <v>47</v>
      </c>
      <c r="J1" s="40" t="s">
        <v>48</v>
      </c>
      <c r="K1" s="40" t="s">
        <v>49</v>
      </c>
      <c r="L1" s="41" t="s">
        <v>50</v>
      </c>
      <c r="M1" s="41" t="s">
        <v>51</v>
      </c>
      <c r="N1" s="41" t="s">
        <v>55</v>
      </c>
    </row>
    <row r="2" spans="1:14" ht="31.15" customHeight="1">
      <c r="A2" s="42"/>
      <c r="B2" s="42" t="s">
        <v>56</v>
      </c>
      <c r="C2" s="42" t="s">
        <v>57</v>
      </c>
      <c r="D2" s="26" t="s">
        <v>58</v>
      </c>
      <c r="E2" s="26" t="s">
        <v>59</v>
      </c>
      <c r="F2" s="26" t="s">
        <v>60</v>
      </c>
      <c r="G2" s="27" t="s">
        <v>61</v>
      </c>
      <c r="H2" s="27" t="s">
        <v>62</v>
      </c>
      <c r="I2" s="27" t="s">
        <v>63</v>
      </c>
      <c r="J2" s="27" t="s">
        <v>64</v>
      </c>
      <c r="K2" s="27" t="s">
        <v>65</v>
      </c>
      <c r="L2" s="34"/>
      <c r="M2" s="34"/>
      <c r="N2" s="34"/>
    </row>
    <row r="3" spans="1:14">
      <c r="A3" s="42">
        <v>22510</v>
      </c>
      <c r="B3" s="42" t="s">
        <v>19</v>
      </c>
      <c r="C3" s="43">
        <v>3</v>
      </c>
      <c r="D3" s="30">
        <v>5526</v>
      </c>
      <c r="E3" s="30">
        <v>3400</v>
      </c>
      <c r="F3" s="30">
        <v>0</v>
      </c>
      <c r="G3" s="28"/>
      <c r="H3" s="28"/>
      <c r="I3" s="28"/>
      <c r="J3" s="28">
        <v>6800</v>
      </c>
      <c r="K3" s="28">
        <v>5100</v>
      </c>
      <c r="L3" s="35"/>
      <c r="M3" s="35">
        <v>5950</v>
      </c>
      <c r="N3" s="35"/>
    </row>
    <row r="4" spans="1:14">
      <c r="A4" s="42">
        <v>20687</v>
      </c>
      <c r="B4" s="42" t="s">
        <v>20</v>
      </c>
      <c r="C4" s="43">
        <v>3</v>
      </c>
      <c r="D4" s="30">
        <v>0</v>
      </c>
      <c r="E4" s="30">
        <v>0</v>
      </c>
      <c r="F4" s="30">
        <v>520</v>
      </c>
      <c r="G4" s="28"/>
      <c r="H4" s="28"/>
      <c r="I4" s="28">
        <v>1400</v>
      </c>
      <c r="J4" s="28"/>
      <c r="K4" s="28"/>
      <c r="L4" s="35"/>
      <c r="M4" s="35"/>
      <c r="N4" s="35"/>
    </row>
    <row r="5" spans="1:14">
      <c r="A5" s="42">
        <v>21023</v>
      </c>
      <c r="B5" s="42" t="s">
        <v>21</v>
      </c>
      <c r="C5" s="43">
        <v>3</v>
      </c>
      <c r="D5" s="31">
        <v>440</v>
      </c>
      <c r="E5" s="31"/>
      <c r="F5" s="31"/>
      <c r="G5" s="29"/>
      <c r="H5" s="29"/>
      <c r="I5" s="29"/>
      <c r="J5" s="29"/>
      <c r="K5" s="29"/>
      <c r="L5" s="36"/>
      <c r="M5" s="36">
        <v>880</v>
      </c>
      <c r="N5" s="36"/>
    </row>
    <row r="6" spans="1:14">
      <c r="A6" s="42">
        <v>21625</v>
      </c>
      <c r="B6" s="42" t="s">
        <v>22</v>
      </c>
      <c r="C6" s="43">
        <v>3</v>
      </c>
      <c r="D6" s="30">
        <v>2760</v>
      </c>
      <c r="E6" s="30">
        <v>2748</v>
      </c>
      <c r="F6" s="30">
        <v>2789</v>
      </c>
      <c r="G6" s="28"/>
      <c r="H6" s="28"/>
      <c r="I6" s="28"/>
      <c r="J6" s="28">
        <v>6412</v>
      </c>
      <c r="K6" s="28">
        <v>3664</v>
      </c>
      <c r="L6" s="35"/>
      <c r="M6" s="35"/>
      <c r="N6" s="35"/>
    </row>
    <row r="7" spans="1:14">
      <c r="A7" s="42">
        <v>21401</v>
      </c>
      <c r="B7" s="42" t="s">
        <v>23</v>
      </c>
      <c r="C7" s="43">
        <v>3</v>
      </c>
      <c r="D7" s="31"/>
      <c r="E7" s="31">
        <v>1800</v>
      </c>
      <c r="F7" s="31"/>
      <c r="G7" s="29"/>
      <c r="H7" s="29"/>
      <c r="I7" s="29"/>
      <c r="J7" s="29">
        <v>1200</v>
      </c>
      <c r="K7" s="29"/>
      <c r="L7" s="36"/>
      <c r="M7" s="36"/>
      <c r="N7" s="36">
        <v>900</v>
      </c>
    </row>
    <row r="8" spans="1:14">
      <c r="A8" s="42">
        <v>20872</v>
      </c>
      <c r="B8" s="44" t="s">
        <v>24</v>
      </c>
      <c r="C8" s="43">
        <v>3</v>
      </c>
      <c r="D8" s="31">
        <v>10500</v>
      </c>
      <c r="E8" s="31"/>
      <c r="F8" s="31"/>
      <c r="G8" s="29"/>
      <c r="H8" s="29"/>
      <c r="I8" s="29">
        <v>23100</v>
      </c>
      <c r="J8" s="29"/>
      <c r="K8" s="29">
        <v>17500</v>
      </c>
      <c r="L8" s="36"/>
      <c r="M8" s="36">
        <v>14700</v>
      </c>
      <c r="N8" s="36"/>
    </row>
    <row r="9" spans="1:14">
      <c r="A9" s="42">
        <v>22510</v>
      </c>
      <c r="B9" s="44" t="s">
        <v>25</v>
      </c>
      <c r="C9" s="43">
        <v>3</v>
      </c>
      <c r="D9" s="30">
        <v>5526</v>
      </c>
      <c r="E9" s="30">
        <v>3400</v>
      </c>
      <c r="F9" s="30">
        <v>0</v>
      </c>
      <c r="G9" s="28"/>
      <c r="H9" s="28"/>
      <c r="I9" s="28"/>
      <c r="J9" s="28">
        <v>6800</v>
      </c>
      <c r="K9" s="28">
        <v>5100</v>
      </c>
      <c r="L9" s="35"/>
      <c r="M9" s="35">
        <v>5950</v>
      </c>
      <c r="N9" s="35"/>
    </row>
    <row r="10" spans="1:14">
      <c r="A10" s="42" t="s">
        <v>66</v>
      </c>
      <c r="B10" s="44" t="s">
        <v>26</v>
      </c>
      <c r="C10" s="43">
        <v>3</v>
      </c>
      <c r="D10" s="31"/>
      <c r="E10" s="31"/>
      <c r="F10" s="31"/>
      <c r="G10" s="29">
        <v>18816</v>
      </c>
      <c r="H10" s="29"/>
      <c r="I10" s="29"/>
      <c r="J10" s="29"/>
      <c r="K10" s="29"/>
      <c r="L10" s="36"/>
      <c r="M10" s="36"/>
      <c r="N10" s="36"/>
    </row>
    <row r="11" spans="1:14">
      <c r="A11" s="42" t="s">
        <v>67</v>
      </c>
      <c r="B11" s="44" t="s">
        <v>28</v>
      </c>
      <c r="C11" s="43">
        <v>3</v>
      </c>
      <c r="D11" s="31"/>
      <c r="E11" s="31"/>
      <c r="F11" s="31"/>
      <c r="G11" s="29">
        <v>19200</v>
      </c>
      <c r="H11" s="29"/>
      <c r="I11" s="29"/>
      <c r="J11" s="29"/>
      <c r="K11" s="29"/>
      <c r="L11" s="36"/>
      <c r="M11" s="36"/>
      <c r="N11" s="36"/>
    </row>
    <row r="12" spans="1:14">
      <c r="A12" s="42" t="s">
        <v>68</v>
      </c>
      <c r="B12" s="44" t="s">
        <v>29</v>
      </c>
      <c r="C12" s="43">
        <v>3</v>
      </c>
      <c r="D12" s="31"/>
      <c r="E12" s="31"/>
      <c r="F12" s="31"/>
      <c r="G12" s="29">
        <v>150000</v>
      </c>
      <c r="H12" s="29"/>
      <c r="I12" s="29"/>
      <c r="J12" s="29"/>
      <c r="K12" s="29"/>
      <c r="L12" s="36"/>
      <c r="M12" s="36"/>
      <c r="N12" s="36"/>
    </row>
    <row r="13" spans="1:14">
      <c r="A13" s="42">
        <v>20922</v>
      </c>
      <c r="B13" s="44" t="s">
        <v>30</v>
      </c>
      <c r="C13" s="43">
        <v>3</v>
      </c>
      <c r="D13" s="30">
        <v>0</v>
      </c>
      <c r="E13" s="30">
        <v>9000</v>
      </c>
      <c r="F13" s="30">
        <v>9000</v>
      </c>
      <c r="G13" s="28"/>
      <c r="H13" s="28"/>
      <c r="I13" s="28">
        <v>29700</v>
      </c>
      <c r="J13" s="28"/>
      <c r="K13" s="28">
        <v>13500</v>
      </c>
      <c r="L13" s="35">
        <v>1350</v>
      </c>
      <c r="M13" s="35"/>
      <c r="N13" s="35">
        <v>18000</v>
      </c>
    </row>
    <row r="14" spans="1:14">
      <c r="A14" s="42">
        <v>21088</v>
      </c>
      <c r="B14" s="44" t="s">
        <v>31</v>
      </c>
      <c r="C14" s="43">
        <v>3</v>
      </c>
      <c r="D14" s="31"/>
      <c r="E14" s="31">
        <v>4500</v>
      </c>
      <c r="F14" s="31"/>
      <c r="G14" s="29"/>
      <c r="H14" s="29"/>
      <c r="I14" s="29"/>
      <c r="J14" s="29">
        <v>6000</v>
      </c>
      <c r="K14" s="29"/>
      <c r="L14" s="36"/>
      <c r="M14" s="36"/>
      <c r="N14" s="36"/>
    </row>
    <row r="15" spans="1:14">
      <c r="A15" s="42">
        <v>21196</v>
      </c>
      <c r="B15" s="44" t="s">
        <v>32</v>
      </c>
      <c r="C15" s="43">
        <v>3</v>
      </c>
      <c r="D15" s="31"/>
      <c r="E15" s="31"/>
      <c r="F15" s="31">
        <v>1500</v>
      </c>
      <c r="G15" s="29"/>
      <c r="H15" s="29"/>
      <c r="I15" s="29">
        <v>2100</v>
      </c>
      <c r="J15" s="29"/>
      <c r="K15" s="29"/>
      <c r="L15" s="36">
        <v>2100</v>
      </c>
      <c r="M15" s="36"/>
      <c r="N15" s="36"/>
    </row>
    <row r="16" spans="1:14">
      <c r="A16" s="42">
        <v>21087</v>
      </c>
      <c r="B16" s="44" t="s">
        <v>33</v>
      </c>
      <c r="C16" s="43">
        <v>3</v>
      </c>
      <c r="D16" s="31"/>
      <c r="E16" s="31">
        <v>4500</v>
      </c>
      <c r="F16" s="31"/>
      <c r="G16" s="29"/>
      <c r="H16" s="29"/>
      <c r="I16" s="29"/>
      <c r="J16" s="29"/>
      <c r="K16" s="29"/>
      <c r="L16" s="36"/>
      <c r="M16" s="36"/>
      <c r="N16" s="36"/>
    </row>
    <row r="17" spans="1:14">
      <c r="A17" s="42">
        <v>20211</v>
      </c>
      <c r="B17" s="44" t="s">
        <v>34</v>
      </c>
      <c r="C17" s="43">
        <v>3</v>
      </c>
      <c r="D17" s="30">
        <v>31350</v>
      </c>
      <c r="E17" s="30">
        <v>0</v>
      </c>
      <c r="F17" s="30">
        <v>0</v>
      </c>
      <c r="G17" s="28"/>
      <c r="H17" s="28"/>
      <c r="I17" s="28">
        <v>39600</v>
      </c>
      <c r="J17" s="28"/>
      <c r="K17" s="28"/>
      <c r="L17" s="35">
        <v>7425</v>
      </c>
      <c r="M17" s="35"/>
      <c r="N17" s="35">
        <v>22275</v>
      </c>
    </row>
    <row r="18" spans="1:14">
      <c r="A18" s="42">
        <v>21602</v>
      </c>
      <c r="B18" s="44" t="s">
        <v>35</v>
      </c>
      <c r="C18" s="43">
        <v>3</v>
      </c>
      <c r="D18" s="31"/>
      <c r="E18" s="31"/>
      <c r="F18" s="31">
        <v>3000</v>
      </c>
      <c r="G18" s="29"/>
      <c r="H18" s="29"/>
      <c r="I18" s="29"/>
      <c r="J18" s="29"/>
      <c r="K18" s="29"/>
      <c r="L18" s="36"/>
      <c r="M18" s="36">
        <v>9000</v>
      </c>
      <c r="N18" s="36"/>
    </row>
    <row r="19" spans="1:14">
      <c r="A19" s="42">
        <v>20270</v>
      </c>
      <c r="B19" s="44" t="s">
        <v>36</v>
      </c>
      <c r="C19" s="43">
        <v>6</v>
      </c>
      <c r="D19" s="31"/>
      <c r="E19" s="31"/>
      <c r="F19" s="31"/>
      <c r="G19" s="29"/>
      <c r="H19" s="29">
        <v>80</v>
      </c>
      <c r="I19" s="29"/>
      <c r="J19" s="29"/>
      <c r="K19" s="29"/>
      <c r="L19" s="36"/>
      <c r="M19" s="36"/>
      <c r="N19" s="36"/>
    </row>
    <row r="20" spans="1:14">
      <c r="A20" s="42">
        <v>20336</v>
      </c>
      <c r="B20" s="44" t="s">
        <v>37</v>
      </c>
      <c r="C20" s="43">
        <v>3</v>
      </c>
      <c r="D20" s="31"/>
      <c r="E20" s="31"/>
      <c r="F20" s="31"/>
      <c r="G20" s="29"/>
      <c r="H20" s="29">
        <v>90</v>
      </c>
      <c r="I20" s="29"/>
      <c r="J20" s="29"/>
      <c r="K20" s="29"/>
      <c r="L20" s="36"/>
      <c r="M20" s="36"/>
      <c r="N20" s="36">
        <v>45</v>
      </c>
    </row>
    <row r="21" spans="1:14">
      <c r="A21" s="42">
        <v>11657</v>
      </c>
      <c r="B21" s="44" t="s">
        <v>38</v>
      </c>
      <c r="C21" s="43">
        <v>6</v>
      </c>
      <c r="D21" s="31"/>
      <c r="E21" s="31"/>
      <c r="F21" s="31"/>
      <c r="G21" s="29"/>
      <c r="H21" s="29"/>
      <c r="I21" s="29"/>
      <c r="J21" s="29"/>
      <c r="K21" s="29"/>
      <c r="L21" s="36">
        <v>60</v>
      </c>
      <c r="M21" s="36"/>
      <c r="N21" s="36">
        <v>80</v>
      </c>
    </row>
    <row r="22" spans="1:14">
      <c r="A22" s="42">
        <v>20313</v>
      </c>
      <c r="B22" s="44" t="s">
        <v>39</v>
      </c>
      <c r="C22" s="43">
        <v>3</v>
      </c>
      <c r="D22" s="31">
        <v>3000</v>
      </c>
      <c r="E22" s="31"/>
      <c r="F22" s="31"/>
      <c r="G22" s="29"/>
      <c r="H22" s="29"/>
      <c r="I22" s="29"/>
      <c r="J22" s="29"/>
      <c r="K22" s="29">
        <v>2000</v>
      </c>
      <c r="L22" s="36">
        <v>5000</v>
      </c>
      <c r="M22" s="36"/>
      <c r="N22" s="36"/>
    </row>
    <row r="23" spans="1:14">
      <c r="A23" s="42" t="s">
        <v>69</v>
      </c>
      <c r="B23" s="44" t="s">
        <v>40</v>
      </c>
      <c r="C23" s="43">
        <v>2</v>
      </c>
      <c r="D23" s="31">
        <v>19800</v>
      </c>
      <c r="E23" s="31"/>
      <c r="F23" s="31"/>
      <c r="G23" s="29">
        <v>106920</v>
      </c>
      <c r="H23" s="29"/>
      <c r="I23" s="29"/>
      <c r="J23" s="29"/>
      <c r="K23" s="29"/>
      <c r="L23" s="36"/>
      <c r="M23" s="36"/>
      <c r="N23" s="36"/>
    </row>
    <row r="24" spans="1:14">
      <c r="A24" s="42" t="s">
        <v>70</v>
      </c>
      <c r="B24" s="44" t="s">
        <v>41</v>
      </c>
      <c r="C24" s="43">
        <v>2</v>
      </c>
      <c r="D24" s="30">
        <v>39690</v>
      </c>
      <c r="E24" s="30">
        <v>0</v>
      </c>
      <c r="F24" s="30">
        <v>930</v>
      </c>
      <c r="G24" s="28">
        <v>203940</v>
      </c>
      <c r="H24" s="28"/>
      <c r="I24" s="28"/>
      <c r="J24" s="28"/>
      <c r="K24" s="28"/>
      <c r="L24" s="35"/>
      <c r="M24" s="35"/>
      <c r="N24" s="35"/>
    </row>
    <row r="25" spans="1:14">
      <c r="A25" s="42" t="s">
        <v>71</v>
      </c>
      <c r="B25" s="44" t="s">
        <v>42</v>
      </c>
      <c r="C25" s="43">
        <v>2</v>
      </c>
      <c r="D25" s="31"/>
      <c r="E25" s="31"/>
      <c r="F25" s="31"/>
      <c r="G25" s="29"/>
      <c r="H25" s="29">
        <v>1414</v>
      </c>
      <c r="I25" s="29"/>
      <c r="J25" s="29"/>
      <c r="K25" s="29"/>
      <c r="L25" s="36"/>
      <c r="M25" s="36"/>
      <c r="N25" s="36"/>
    </row>
    <row r="26" spans="1:14">
      <c r="A26" s="42" t="s">
        <v>72</v>
      </c>
      <c r="B26" s="44" t="s">
        <v>43</v>
      </c>
      <c r="C26" s="43">
        <v>2</v>
      </c>
      <c r="D26" s="31"/>
      <c r="E26" s="31"/>
      <c r="F26" s="31"/>
      <c r="G26" s="29"/>
      <c r="H26" s="29"/>
      <c r="I26" s="29"/>
      <c r="J26" s="29">
        <v>18200</v>
      </c>
      <c r="K26" s="29"/>
      <c r="L26" s="36"/>
      <c r="M26" s="36"/>
      <c r="N26" s="36"/>
    </row>
    <row r="27" spans="1:14">
      <c r="A27" s="42" t="s">
        <v>73</v>
      </c>
      <c r="B27" s="44" t="s">
        <v>44</v>
      </c>
      <c r="C27" s="43">
        <v>2</v>
      </c>
      <c r="D27" s="31"/>
      <c r="E27" s="31"/>
      <c r="F27" s="31"/>
      <c r="G27" s="29"/>
      <c r="H27" s="29">
        <v>204000</v>
      </c>
      <c r="I27" s="29"/>
      <c r="J27" s="29"/>
      <c r="K27" s="29"/>
      <c r="L27" s="36"/>
      <c r="M27" s="36"/>
      <c r="N27" s="36"/>
    </row>
    <row r="28" spans="1:14">
      <c r="A28" s="42" t="s">
        <v>74</v>
      </c>
      <c r="B28" s="44" t="s">
        <v>45</v>
      </c>
      <c r="C28" s="43">
        <v>2</v>
      </c>
      <c r="D28" s="31"/>
      <c r="E28" s="31"/>
      <c r="F28" s="31"/>
      <c r="G28" s="29"/>
      <c r="H28" s="29">
        <v>204000</v>
      </c>
      <c r="I28" s="29"/>
      <c r="J28" s="29"/>
      <c r="K28" s="29"/>
      <c r="L28" s="36"/>
      <c r="M28" s="36"/>
      <c r="N28" s="36"/>
    </row>
    <row r="29" spans="1:14">
      <c r="L29"/>
      <c r="M29"/>
      <c r="N29"/>
    </row>
    <row r="30" spans="1:14">
      <c r="L30"/>
      <c r="M30"/>
      <c r="N30"/>
    </row>
    <row r="31" spans="1:14">
      <c r="L31"/>
      <c r="M31"/>
      <c r="N31"/>
    </row>
    <row r="32" spans="1:14">
      <c r="L32"/>
      <c r="M32"/>
      <c r="N32"/>
    </row>
    <row r="33" spans="12:14">
      <c r="L33"/>
      <c r="M33"/>
      <c r="N33"/>
    </row>
    <row r="34" spans="12:14">
      <c r="L34"/>
      <c r="M34"/>
      <c r="N34"/>
    </row>
    <row r="35" spans="12:14">
      <c r="L35"/>
      <c r="M35"/>
      <c r="N35"/>
    </row>
    <row r="36" spans="12:14">
      <c r="L36"/>
      <c r="M36"/>
      <c r="N36"/>
    </row>
    <row r="37" spans="12:14">
      <c r="L37"/>
      <c r="M37"/>
      <c r="N37"/>
    </row>
    <row r="38" spans="12:14">
      <c r="L38"/>
      <c r="M38"/>
      <c r="N38"/>
    </row>
    <row r="39" spans="12:14">
      <c r="L39"/>
      <c r="M39"/>
      <c r="N39"/>
    </row>
    <row r="40" spans="12:14">
      <c r="L40"/>
      <c r="M40"/>
      <c r="N40"/>
    </row>
    <row r="41" spans="12:14">
      <c r="L41"/>
      <c r="M41"/>
      <c r="N41"/>
    </row>
    <row r="42" spans="12:14">
      <c r="L42"/>
      <c r="M42"/>
      <c r="N42"/>
    </row>
    <row r="43" spans="12:14">
      <c r="L43"/>
      <c r="M43"/>
      <c r="N43"/>
    </row>
    <row r="44" spans="12:14">
      <c r="L44"/>
      <c r="M44"/>
      <c r="N44"/>
    </row>
    <row r="45" spans="12:14">
      <c r="L45"/>
      <c r="M45"/>
      <c r="N45"/>
    </row>
    <row r="46" spans="12:14">
      <c r="L46"/>
      <c r="M46"/>
      <c r="N46"/>
    </row>
    <row r="47" spans="12:14">
      <c r="L47"/>
      <c r="M47"/>
      <c r="N47"/>
    </row>
    <row r="48" spans="12:14">
      <c r="L48"/>
      <c r="M48"/>
      <c r="N48"/>
    </row>
    <row r="49" spans="12:14">
      <c r="L49"/>
      <c r="M49"/>
      <c r="N49"/>
    </row>
    <row r="50" spans="12:14">
      <c r="L50"/>
      <c r="M50"/>
      <c r="N50"/>
    </row>
    <row r="51" spans="12:14">
      <c r="L51"/>
      <c r="M51"/>
      <c r="N51"/>
    </row>
    <row r="52" spans="12:14">
      <c r="L52"/>
      <c r="M52"/>
      <c r="N52"/>
    </row>
    <row r="53" spans="12:14">
      <c r="L53"/>
      <c r="M53"/>
      <c r="N53"/>
    </row>
    <row r="54" spans="12:14">
      <c r="L54"/>
      <c r="M54"/>
      <c r="N54"/>
    </row>
    <row r="55" spans="12:14">
      <c r="L55"/>
      <c r="M55"/>
      <c r="N55"/>
    </row>
    <row r="56" spans="12:14">
      <c r="L56"/>
      <c r="M56"/>
      <c r="N56"/>
    </row>
    <row r="57" spans="12:14">
      <c r="L57"/>
      <c r="M57"/>
      <c r="N57"/>
    </row>
    <row r="58" spans="12:14">
      <c r="L58"/>
      <c r="M58"/>
      <c r="N58"/>
    </row>
    <row r="59" spans="12:14">
      <c r="L59"/>
      <c r="M59"/>
      <c r="N59"/>
    </row>
    <row r="60" spans="12:14">
      <c r="L60"/>
      <c r="M60"/>
      <c r="N60"/>
    </row>
    <row r="61" spans="12:14">
      <c r="L61"/>
      <c r="M61"/>
      <c r="N61"/>
    </row>
    <row r="62" spans="12:14">
      <c r="L62"/>
      <c r="M62"/>
      <c r="N62"/>
    </row>
    <row r="63" spans="12:14">
      <c r="L63"/>
      <c r="M63"/>
      <c r="N63"/>
    </row>
    <row r="64" spans="12:14">
      <c r="L64"/>
      <c r="M64"/>
      <c r="N64"/>
    </row>
    <row r="65" spans="12:14">
      <c r="L65"/>
      <c r="M65"/>
      <c r="N65"/>
    </row>
    <row r="66" spans="12:14">
      <c r="L66"/>
      <c r="M66"/>
      <c r="N66"/>
    </row>
    <row r="67" spans="12:14">
      <c r="L67"/>
      <c r="M67"/>
      <c r="N67"/>
    </row>
    <row r="68" spans="12:14">
      <c r="L68"/>
      <c r="M68"/>
      <c r="N68"/>
    </row>
    <row r="69" spans="12:14">
      <c r="L69"/>
      <c r="M69"/>
      <c r="N69"/>
    </row>
    <row r="70" spans="12:14">
      <c r="L70"/>
      <c r="M70"/>
      <c r="N70"/>
    </row>
    <row r="71" spans="12:14">
      <c r="L71"/>
      <c r="M71"/>
      <c r="N71"/>
    </row>
    <row r="72" spans="12:14">
      <c r="L72"/>
      <c r="M72"/>
      <c r="N72"/>
    </row>
    <row r="73" spans="12:14">
      <c r="L73"/>
      <c r="M73"/>
      <c r="N73"/>
    </row>
    <row r="74" spans="12:14">
      <c r="L74"/>
      <c r="M74"/>
      <c r="N74"/>
    </row>
    <row r="75" spans="12:14">
      <c r="L75"/>
      <c r="M75"/>
      <c r="N75"/>
    </row>
    <row r="76" spans="12:14">
      <c r="L76"/>
      <c r="M76"/>
      <c r="N76"/>
    </row>
    <row r="77" spans="12:14">
      <c r="L77"/>
      <c r="M77"/>
      <c r="N77"/>
    </row>
    <row r="78" spans="12:14">
      <c r="L78"/>
      <c r="M78"/>
      <c r="N78"/>
    </row>
    <row r="79" spans="12:14">
      <c r="L79"/>
      <c r="M79"/>
      <c r="N79"/>
    </row>
    <row r="80" spans="12:14">
      <c r="L80"/>
      <c r="M80"/>
      <c r="N80"/>
    </row>
    <row r="81" spans="12:14">
      <c r="L81"/>
      <c r="M81"/>
      <c r="N81"/>
    </row>
    <row r="82" spans="12:14">
      <c r="L82"/>
      <c r="M82"/>
      <c r="N82"/>
    </row>
    <row r="83" spans="12:14">
      <c r="L83"/>
      <c r="M83"/>
      <c r="N83"/>
    </row>
    <row r="84" spans="12:14">
      <c r="L84"/>
      <c r="M84"/>
      <c r="N84"/>
    </row>
    <row r="85" spans="12:14">
      <c r="L85"/>
      <c r="M85"/>
      <c r="N85"/>
    </row>
    <row r="86" spans="12:14">
      <c r="L86"/>
      <c r="M86"/>
      <c r="N86"/>
    </row>
    <row r="87" spans="12:14">
      <c r="L87"/>
      <c r="M87"/>
      <c r="N87"/>
    </row>
    <row r="88" spans="12:14">
      <c r="L88"/>
      <c r="M88"/>
      <c r="N88"/>
    </row>
    <row r="89" spans="12:14">
      <c r="L89"/>
      <c r="M89"/>
      <c r="N89"/>
    </row>
    <row r="90" spans="12:14">
      <c r="L90"/>
      <c r="M90"/>
      <c r="N90"/>
    </row>
    <row r="91" spans="12:14">
      <c r="L91"/>
      <c r="M91"/>
      <c r="N91"/>
    </row>
    <row r="92" spans="12:14">
      <c r="L92"/>
      <c r="M92"/>
      <c r="N92"/>
    </row>
    <row r="93" spans="12:14">
      <c r="L93"/>
      <c r="M93"/>
      <c r="N93"/>
    </row>
    <row r="94" spans="12:14">
      <c r="L94"/>
      <c r="M94"/>
      <c r="N94"/>
    </row>
    <row r="95" spans="12:14">
      <c r="L95"/>
      <c r="M95"/>
      <c r="N95"/>
    </row>
    <row r="96" spans="12:14">
      <c r="L96"/>
      <c r="M96"/>
      <c r="N96"/>
    </row>
    <row r="97" spans="12:14">
      <c r="L97"/>
      <c r="M97"/>
      <c r="N97"/>
    </row>
    <row r="98" spans="12:14">
      <c r="L98"/>
      <c r="M98"/>
      <c r="N98"/>
    </row>
    <row r="99" spans="12:14">
      <c r="L99"/>
      <c r="M99"/>
      <c r="N99"/>
    </row>
    <row r="100" spans="12:14">
      <c r="L100"/>
      <c r="M100"/>
      <c r="N100"/>
    </row>
    <row r="101" spans="12:14">
      <c r="L101"/>
      <c r="M101"/>
      <c r="N101"/>
    </row>
    <row r="102" spans="12:14">
      <c r="L102"/>
      <c r="M102"/>
      <c r="N102"/>
    </row>
    <row r="103" spans="12:14">
      <c r="L103"/>
      <c r="M103"/>
      <c r="N103"/>
    </row>
    <row r="104" spans="12:14">
      <c r="L104"/>
      <c r="M104"/>
      <c r="N104"/>
    </row>
    <row r="105" spans="12:14">
      <c r="L105"/>
      <c r="M105"/>
      <c r="N105"/>
    </row>
    <row r="106" spans="12:14">
      <c r="L106"/>
      <c r="M106"/>
      <c r="N106"/>
    </row>
    <row r="107" spans="12:14">
      <c r="L107"/>
      <c r="M107"/>
      <c r="N107"/>
    </row>
    <row r="108" spans="12:14">
      <c r="L108"/>
      <c r="M108"/>
      <c r="N108"/>
    </row>
    <row r="109" spans="12:14">
      <c r="L109"/>
      <c r="M109"/>
      <c r="N109"/>
    </row>
    <row r="110" spans="12:14">
      <c r="L110"/>
      <c r="M110"/>
      <c r="N110"/>
    </row>
    <row r="111" spans="12:14">
      <c r="L111"/>
      <c r="M111"/>
      <c r="N111"/>
    </row>
    <row r="112" spans="12:14">
      <c r="L112"/>
      <c r="M112"/>
      <c r="N112"/>
    </row>
    <row r="113" spans="12:14">
      <c r="L113"/>
      <c r="M113"/>
      <c r="N113"/>
    </row>
    <row r="114" spans="12:14">
      <c r="L114"/>
      <c r="M114"/>
      <c r="N114"/>
    </row>
    <row r="115" spans="12:14">
      <c r="L115"/>
      <c r="M115"/>
      <c r="N115"/>
    </row>
    <row r="116" spans="12:14">
      <c r="L116"/>
      <c r="M116"/>
      <c r="N116"/>
    </row>
    <row r="117" spans="12:14">
      <c r="L117"/>
      <c r="M117"/>
      <c r="N117"/>
    </row>
    <row r="118" spans="12:14">
      <c r="L118"/>
      <c r="M118"/>
      <c r="N118"/>
    </row>
    <row r="119" spans="12:14">
      <c r="L119"/>
      <c r="M119"/>
      <c r="N119"/>
    </row>
    <row r="120" spans="12:14">
      <c r="L120"/>
      <c r="M120"/>
      <c r="N120"/>
    </row>
    <row r="121" spans="12:14">
      <c r="L121"/>
      <c r="M121"/>
      <c r="N121"/>
    </row>
    <row r="122" spans="12:14">
      <c r="L122"/>
      <c r="M122"/>
      <c r="N122"/>
    </row>
    <row r="123" spans="12:14">
      <c r="L123"/>
      <c r="M123"/>
      <c r="N123"/>
    </row>
    <row r="124" spans="12:14">
      <c r="L124"/>
      <c r="M124"/>
      <c r="N124"/>
    </row>
    <row r="125" spans="12:14">
      <c r="L125"/>
      <c r="M125"/>
      <c r="N125"/>
    </row>
    <row r="126" spans="12:14">
      <c r="L126"/>
      <c r="M126"/>
      <c r="N126"/>
    </row>
    <row r="127" spans="12:14">
      <c r="L127"/>
      <c r="M127"/>
      <c r="N127"/>
    </row>
    <row r="128" spans="12:14">
      <c r="L128"/>
      <c r="M128"/>
      <c r="N128"/>
    </row>
    <row r="129" spans="12:14">
      <c r="L129"/>
      <c r="M129"/>
      <c r="N129"/>
    </row>
    <row r="130" spans="12:14">
      <c r="L130"/>
      <c r="M130"/>
      <c r="N130"/>
    </row>
    <row r="131" spans="12:14">
      <c r="L131"/>
      <c r="M131"/>
      <c r="N131"/>
    </row>
    <row r="132" spans="12:14">
      <c r="L132"/>
      <c r="M132"/>
      <c r="N132"/>
    </row>
    <row r="133" spans="12:14">
      <c r="L133"/>
      <c r="M133"/>
      <c r="N133"/>
    </row>
    <row r="134" spans="12:14">
      <c r="L134"/>
      <c r="M134"/>
      <c r="N134"/>
    </row>
    <row r="135" spans="12:14">
      <c r="L135"/>
      <c r="M135"/>
      <c r="N135"/>
    </row>
    <row r="136" spans="12:14">
      <c r="L136"/>
      <c r="M136"/>
      <c r="N136"/>
    </row>
    <row r="137" spans="12:14">
      <c r="L137"/>
      <c r="M137"/>
      <c r="N137"/>
    </row>
    <row r="138" spans="12:14">
      <c r="L138"/>
      <c r="M138"/>
      <c r="N138"/>
    </row>
    <row r="139" spans="12:14">
      <c r="L139"/>
      <c r="M139"/>
      <c r="N139"/>
    </row>
    <row r="140" spans="12:14">
      <c r="L140"/>
      <c r="M140"/>
      <c r="N140"/>
    </row>
    <row r="141" spans="12:14">
      <c r="L141"/>
      <c r="M141"/>
      <c r="N141"/>
    </row>
    <row r="142" spans="12:14">
      <c r="L142"/>
      <c r="M142"/>
      <c r="N142"/>
    </row>
    <row r="143" spans="12:14">
      <c r="L143"/>
      <c r="M143"/>
      <c r="N143"/>
    </row>
    <row r="144" spans="12:14">
      <c r="L144"/>
      <c r="M144"/>
      <c r="N144"/>
    </row>
    <row r="145" spans="12:14">
      <c r="L145"/>
      <c r="M145"/>
      <c r="N145"/>
    </row>
    <row r="146" spans="12:14">
      <c r="L146"/>
      <c r="M146"/>
      <c r="N146"/>
    </row>
    <row r="147" spans="12:14">
      <c r="L147"/>
      <c r="M147"/>
      <c r="N147"/>
    </row>
    <row r="148" spans="12:14">
      <c r="L148"/>
      <c r="M148"/>
      <c r="N148"/>
    </row>
    <row r="149" spans="12:14">
      <c r="L149"/>
      <c r="M149"/>
      <c r="N149"/>
    </row>
    <row r="150" spans="12:14">
      <c r="L150"/>
      <c r="M150"/>
      <c r="N150"/>
    </row>
    <row r="151" spans="12:14">
      <c r="L151"/>
      <c r="M151"/>
      <c r="N151"/>
    </row>
    <row r="152" spans="12:14">
      <c r="L152"/>
      <c r="M152"/>
      <c r="N152"/>
    </row>
    <row r="153" spans="12:14">
      <c r="L153"/>
      <c r="M153"/>
      <c r="N153"/>
    </row>
    <row r="154" spans="12:14">
      <c r="L154"/>
      <c r="M154"/>
      <c r="N154"/>
    </row>
    <row r="155" spans="12:14">
      <c r="L155"/>
      <c r="M155"/>
      <c r="N155"/>
    </row>
    <row r="156" spans="12:14">
      <c r="L156"/>
      <c r="M156"/>
      <c r="N156"/>
    </row>
    <row r="157" spans="12:14">
      <c r="L157"/>
      <c r="M157"/>
      <c r="N157"/>
    </row>
    <row r="158" spans="12:14">
      <c r="L158"/>
      <c r="M158"/>
      <c r="N158"/>
    </row>
    <row r="159" spans="12:14">
      <c r="L159"/>
      <c r="M159"/>
      <c r="N159"/>
    </row>
    <row r="160" spans="12:14">
      <c r="L160"/>
      <c r="M160"/>
      <c r="N160"/>
    </row>
    <row r="161" spans="12:14">
      <c r="L161"/>
      <c r="M161"/>
      <c r="N161"/>
    </row>
    <row r="162" spans="12:14">
      <c r="L162"/>
      <c r="M162"/>
      <c r="N162"/>
    </row>
    <row r="163" spans="12:14">
      <c r="L163"/>
      <c r="M163"/>
      <c r="N163"/>
    </row>
    <row r="164" spans="12:14">
      <c r="L164"/>
      <c r="M164"/>
      <c r="N164"/>
    </row>
    <row r="165" spans="12:14">
      <c r="L165"/>
      <c r="M165"/>
      <c r="N165"/>
    </row>
    <row r="166" spans="12:14">
      <c r="L166"/>
      <c r="M166"/>
      <c r="N166"/>
    </row>
    <row r="167" spans="12:14">
      <c r="L167"/>
      <c r="M167"/>
      <c r="N167"/>
    </row>
    <row r="168" spans="12:14">
      <c r="L168"/>
      <c r="M168"/>
      <c r="N168"/>
    </row>
    <row r="169" spans="12:14">
      <c r="L169"/>
      <c r="M169"/>
      <c r="N169"/>
    </row>
    <row r="170" spans="12:14">
      <c r="L170"/>
      <c r="M170"/>
      <c r="N170"/>
    </row>
    <row r="171" spans="12:14">
      <c r="L171"/>
      <c r="M171"/>
      <c r="N171"/>
    </row>
    <row r="172" spans="12:14">
      <c r="L172"/>
      <c r="M172"/>
      <c r="N172"/>
    </row>
    <row r="173" spans="12:14">
      <c r="L173"/>
      <c r="M173"/>
      <c r="N173"/>
    </row>
    <row r="174" spans="12:14">
      <c r="L174"/>
      <c r="M174"/>
      <c r="N174"/>
    </row>
    <row r="175" spans="12:14">
      <c r="L175"/>
      <c r="M175"/>
      <c r="N175"/>
    </row>
    <row r="176" spans="12:14">
      <c r="L176"/>
      <c r="M176"/>
      <c r="N176"/>
    </row>
    <row r="177" spans="12:14">
      <c r="L177"/>
      <c r="M177"/>
      <c r="N177"/>
    </row>
    <row r="178" spans="12:14">
      <c r="L178"/>
      <c r="M178"/>
      <c r="N178"/>
    </row>
    <row r="179" spans="12:14">
      <c r="L179"/>
      <c r="M179"/>
      <c r="N179"/>
    </row>
    <row r="180" spans="12:14">
      <c r="L180"/>
      <c r="M180"/>
      <c r="N180"/>
    </row>
    <row r="181" spans="12:14">
      <c r="L181"/>
      <c r="M181"/>
      <c r="N181"/>
    </row>
    <row r="182" spans="12:14">
      <c r="L182"/>
      <c r="M182"/>
      <c r="N182"/>
    </row>
    <row r="183" spans="12:14">
      <c r="L183"/>
      <c r="M183"/>
      <c r="N183"/>
    </row>
    <row r="184" spans="12:14">
      <c r="L184"/>
      <c r="M184"/>
      <c r="N184"/>
    </row>
    <row r="185" spans="12:14">
      <c r="L185"/>
      <c r="M185"/>
      <c r="N185"/>
    </row>
    <row r="186" spans="12:14">
      <c r="L186"/>
      <c r="M186"/>
      <c r="N186"/>
    </row>
    <row r="187" spans="12:14">
      <c r="L187"/>
      <c r="M187"/>
      <c r="N187"/>
    </row>
    <row r="188" spans="12:14">
      <c r="L188"/>
      <c r="M188"/>
      <c r="N188"/>
    </row>
    <row r="189" spans="12:14">
      <c r="L189"/>
      <c r="M189"/>
      <c r="N189"/>
    </row>
    <row r="190" spans="12:14">
      <c r="L190"/>
      <c r="M190"/>
      <c r="N190"/>
    </row>
    <row r="191" spans="12:14">
      <c r="L191"/>
      <c r="M191"/>
      <c r="N191"/>
    </row>
    <row r="192" spans="12:14">
      <c r="L192"/>
      <c r="M192"/>
      <c r="N192"/>
    </row>
    <row r="193" spans="12:14">
      <c r="L193"/>
      <c r="M193"/>
      <c r="N193"/>
    </row>
    <row r="194" spans="12:14">
      <c r="L194"/>
      <c r="M194"/>
      <c r="N194"/>
    </row>
    <row r="195" spans="12:14">
      <c r="L195"/>
      <c r="M195"/>
      <c r="N195"/>
    </row>
    <row r="196" spans="12:14">
      <c r="L196"/>
      <c r="M196"/>
      <c r="N196"/>
    </row>
    <row r="197" spans="12:14">
      <c r="L197"/>
      <c r="M197"/>
      <c r="N197"/>
    </row>
    <row r="198" spans="12:14">
      <c r="L198"/>
      <c r="M198"/>
      <c r="N198"/>
    </row>
    <row r="199" spans="12:14">
      <c r="L199"/>
      <c r="M199"/>
      <c r="N199"/>
    </row>
    <row r="200" spans="12:14">
      <c r="L200"/>
      <c r="M200"/>
      <c r="N200"/>
    </row>
    <row r="201" spans="12:14">
      <c r="L201"/>
      <c r="M201"/>
      <c r="N201"/>
    </row>
    <row r="202" spans="12:14">
      <c r="L202"/>
      <c r="M202"/>
      <c r="N202"/>
    </row>
    <row r="203" spans="12:14">
      <c r="L203"/>
      <c r="M203"/>
      <c r="N203"/>
    </row>
    <row r="204" spans="12:14">
      <c r="L204"/>
      <c r="M204"/>
      <c r="N204"/>
    </row>
    <row r="205" spans="12:14">
      <c r="L205"/>
      <c r="M205"/>
      <c r="N205"/>
    </row>
    <row r="206" spans="12:14">
      <c r="L206"/>
      <c r="M206"/>
      <c r="N206"/>
    </row>
    <row r="207" spans="12:14">
      <c r="L207"/>
      <c r="M207"/>
      <c r="N207"/>
    </row>
    <row r="208" spans="12:14">
      <c r="L208"/>
      <c r="M208"/>
      <c r="N208"/>
    </row>
    <row r="209" spans="12:14">
      <c r="L209"/>
      <c r="M209"/>
      <c r="N209"/>
    </row>
    <row r="210" spans="12:14">
      <c r="L210"/>
      <c r="M210"/>
      <c r="N210"/>
    </row>
    <row r="211" spans="12:14">
      <c r="L211"/>
      <c r="M211"/>
      <c r="N211"/>
    </row>
    <row r="212" spans="12:14">
      <c r="L212"/>
      <c r="M212"/>
      <c r="N212"/>
    </row>
    <row r="213" spans="12:14">
      <c r="L213"/>
      <c r="M213"/>
      <c r="N213"/>
    </row>
    <row r="214" spans="12:14">
      <c r="L214"/>
      <c r="M214"/>
      <c r="N214"/>
    </row>
    <row r="215" spans="12:14">
      <c r="L215"/>
      <c r="M215"/>
      <c r="N215"/>
    </row>
    <row r="216" spans="12:14">
      <c r="L216"/>
      <c r="M216"/>
      <c r="N216"/>
    </row>
    <row r="217" spans="12:14">
      <c r="L217"/>
      <c r="M217"/>
      <c r="N217"/>
    </row>
    <row r="218" spans="12:14">
      <c r="L218"/>
      <c r="M218"/>
      <c r="N218"/>
    </row>
    <row r="219" spans="12:14">
      <c r="L219"/>
      <c r="M219"/>
      <c r="N219"/>
    </row>
    <row r="220" spans="12:14">
      <c r="L220"/>
      <c r="M220"/>
      <c r="N220"/>
    </row>
    <row r="221" spans="12:14">
      <c r="L221"/>
      <c r="M221"/>
      <c r="N221"/>
    </row>
    <row r="222" spans="12:14">
      <c r="L222"/>
      <c r="M222"/>
      <c r="N222"/>
    </row>
    <row r="223" spans="12:14">
      <c r="L223"/>
      <c r="M223"/>
      <c r="N223"/>
    </row>
    <row r="224" spans="12:14">
      <c r="L224"/>
      <c r="M224"/>
      <c r="N224"/>
    </row>
    <row r="225" spans="12:14">
      <c r="L225"/>
      <c r="M225"/>
      <c r="N225"/>
    </row>
    <row r="226" spans="12:14">
      <c r="L226"/>
      <c r="M226"/>
      <c r="N226"/>
    </row>
    <row r="227" spans="12:14">
      <c r="L227"/>
      <c r="M227"/>
      <c r="N227"/>
    </row>
    <row r="228" spans="12:14">
      <c r="L228"/>
      <c r="M228"/>
      <c r="N228"/>
    </row>
    <row r="229" spans="12:14">
      <c r="L229"/>
      <c r="M229"/>
      <c r="N229"/>
    </row>
    <row r="230" spans="12:14">
      <c r="L230"/>
      <c r="M230"/>
      <c r="N230"/>
    </row>
    <row r="231" spans="12:14">
      <c r="L231"/>
      <c r="M231"/>
      <c r="N231"/>
    </row>
    <row r="232" spans="12:14">
      <c r="L232"/>
      <c r="M232"/>
      <c r="N232"/>
    </row>
    <row r="233" spans="12:14">
      <c r="L233"/>
      <c r="M233"/>
      <c r="N233"/>
    </row>
    <row r="234" spans="12:14">
      <c r="L234"/>
      <c r="M234"/>
      <c r="N234"/>
    </row>
    <row r="235" spans="12:14">
      <c r="L235"/>
      <c r="M235"/>
      <c r="N235"/>
    </row>
    <row r="236" spans="12:14">
      <c r="L236"/>
      <c r="M236"/>
      <c r="N236"/>
    </row>
    <row r="237" spans="12:14">
      <c r="L237"/>
      <c r="M237"/>
      <c r="N237"/>
    </row>
    <row r="238" spans="12:14">
      <c r="L238"/>
      <c r="M238"/>
      <c r="N238"/>
    </row>
    <row r="239" spans="12:14">
      <c r="L239"/>
      <c r="M239"/>
      <c r="N239"/>
    </row>
    <row r="240" spans="12:14">
      <c r="L240"/>
      <c r="M240"/>
      <c r="N240"/>
    </row>
    <row r="241" spans="12:14">
      <c r="L241"/>
      <c r="M241"/>
      <c r="N241"/>
    </row>
    <row r="242" spans="12:14">
      <c r="L242"/>
      <c r="M242"/>
      <c r="N242"/>
    </row>
    <row r="243" spans="12:14">
      <c r="L243"/>
      <c r="M243"/>
      <c r="N243"/>
    </row>
    <row r="244" spans="12:14">
      <c r="L244"/>
      <c r="M244"/>
      <c r="N244"/>
    </row>
    <row r="245" spans="12:14">
      <c r="L245"/>
      <c r="M245"/>
      <c r="N245"/>
    </row>
    <row r="246" spans="12:14">
      <c r="L246"/>
      <c r="M246"/>
      <c r="N246"/>
    </row>
    <row r="247" spans="12:14">
      <c r="L247"/>
      <c r="M247"/>
      <c r="N247"/>
    </row>
    <row r="248" spans="12:14">
      <c r="L248"/>
      <c r="M248"/>
      <c r="N248"/>
    </row>
    <row r="249" spans="12:14">
      <c r="L249"/>
      <c r="M249"/>
      <c r="N249"/>
    </row>
    <row r="250" spans="12:14">
      <c r="L250"/>
      <c r="M250"/>
      <c r="N250"/>
    </row>
    <row r="251" spans="12:14">
      <c r="L251"/>
      <c r="M251"/>
      <c r="N251"/>
    </row>
    <row r="252" spans="12:14">
      <c r="L252"/>
      <c r="M252"/>
      <c r="N252"/>
    </row>
    <row r="253" spans="12:14">
      <c r="L253"/>
      <c r="M253"/>
      <c r="N253"/>
    </row>
    <row r="254" spans="12:14">
      <c r="L254"/>
      <c r="M254"/>
      <c r="N254"/>
    </row>
    <row r="255" spans="12:14">
      <c r="L255"/>
      <c r="M255"/>
      <c r="N255"/>
    </row>
    <row r="256" spans="12:14">
      <c r="L256"/>
      <c r="M256"/>
      <c r="N256"/>
    </row>
    <row r="257" spans="12:14">
      <c r="L257"/>
      <c r="M257"/>
      <c r="N257"/>
    </row>
    <row r="258" spans="12:14">
      <c r="L258"/>
      <c r="M258"/>
      <c r="N258"/>
    </row>
    <row r="259" spans="12:14">
      <c r="L259"/>
      <c r="M259"/>
      <c r="N259"/>
    </row>
    <row r="260" spans="12:14">
      <c r="L260"/>
      <c r="M260"/>
      <c r="N260"/>
    </row>
    <row r="261" spans="12:14">
      <c r="L261"/>
      <c r="M261"/>
      <c r="N261"/>
    </row>
    <row r="262" spans="12:14">
      <c r="L262"/>
      <c r="M262"/>
      <c r="N262"/>
    </row>
    <row r="263" spans="12:14">
      <c r="L263"/>
      <c r="M263"/>
      <c r="N263"/>
    </row>
    <row r="264" spans="12:14">
      <c r="L264"/>
      <c r="M264"/>
      <c r="N264"/>
    </row>
    <row r="265" spans="12:14">
      <c r="L265"/>
      <c r="M265"/>
      <c r="N265"/>
    </row>
    <row r="266" spans="12:14">
      <c r="L266"/>
      <c r="M266"/>
      <c r="N266"/>
    </row>
    <row r="267" spans="12:14">
      <c r="L267"/>
      <c r="M267"/>
      <c r="N267"/>
    </row>
    <row r="268" spans="12:14">
      <c r="L268"/>
      <c r="M268"/>
      <c r="N268"/>
    </row>
    <row r="269" spans="12:14">
      <c r="L269"/>
      <c r="M269"/>
      <c r="N269"/>
    </row>
    <row r="270" spans="12:14">
      <c r="L270"/>
      <c r="M270"/>
      <c r="N270"/>
    </row>
    <row r="271" spans="12:14">
      <c r="L271"/>
      <c r="M271"/>
      <c r="N271"/>
    </row>
    <row r="272" spans="12:14">
      <c r="L272"/>
      <c r="M272"/>
      <c r="N272"/>
    </row>
    <row r="273" spans="12:14">
      <c r="L273"/>
      <c r="M273"/>
      <c r="N273"/>
    </row>
    <row r="274" spans="12:14">
      <c r="L274"/>
      <c r="M274"/>
      <c r="N274"/>
    </row>
    <row r="275" spans="12:14">
      <c r="L275"/>
      <c r="M275"/>
      <c r="N275"/>
    </row>
    <row r="276" spans="12:14">
      <c r="L276"/>
      <c r="M276"/>
      <c r="N276"/>
    </row>
    <row r="277" spans="12:14">
      <c r="L277"/>
      <c r="M277"/>
      <c r="N277"/>
    </row>
    <row r="278" spans="12:14">
      <c r="L278"/>
      <c r="M278"/>
      <c r="N278"/>
    </row>
    <row r="279" spans="12:14">
      <c r="L279"/>
      <c r="M279"/>
      <c r="N279"/>
    </row>
    <row r="280" spans="12:14">
      <c r="L280"/>
      <c r="M280"/>
      <c r="N280"/>
    </row>
    <row r="281" spans="12:14">
      <c r="L281"/>
      <c r="M281"/>
      <c r="N281"/>
    </row>
    <row r="282" spans="12:14">
      <c r="L282"/>
      <c r="M282"/>
      <c r="N282"/>
    </row>
    <row r="283" spans="12:14">
      <c r="L283"/>
      <c r="M283"/>
      <c r="N283"/>
    </row>
    <row r="284" spans="12:14">
      <c r="L284"/>
      <c r="M284"/>
      <c r="N284"/>
    </row>
    <row r="285" spans="12:14">
      <c r="L285"/>
      <c r="M285"/>
      <c r="N285"/>
    </row>
    <row r="286" spans="12:14">
      <c r="L286"/>
      <c r="M286"/>
      <c r="N286"/>
    </row>
    <row r="287" spans="12:14">
      <c r="L287"/>
      <c r="M287"/>
      <c r="N287"/>
    </row>
    <row r="288" spans="12:14">
      <c r="L288"/>
      <c r="M288"/>
      <c r="N288"/>
    </row>
    <row r="289" spans="12:14">
      <c r="L289"/>
      <c r="M289"/>
      <c r="N289"/>
    </row>
    <row r="290" spans="12:14">
      <c r="L290"/>
      <c r="M290"/>
      <c r="N290"/>
    </row>
    <row r="291" spans="12:14">
      <c r="L291"/>
      <c r="M291"/>
      <c r="N291"/>
    </row>
    <row r="292" spans="12:14">
      <c r="L292"/>
      <c r="M292"/>
      <c r="N292"/>
    </row>
    <row r="293" spans="12:14">
      <c r="L293"/>
      <c r="M293"/>
      <c r="N293"/>
    </row>
    <row r="294" spans="12:14">
      <c r="L294"/>
      <c r="M294"/>
      <c r="N294"/>
    </row>
    <row r="295" spans="12:14">
      <c r="L295"/>
      <c r="M295"/>
      <c r="N295"/>
    </row>
    <row r="296" spans="12:14">
      <c r="L296"/>
      <c r="M296"/>
      <c r="N296"/>
    </row>
    <row r="297" spans="12:14">
      <c r="L297"/>
      <c r="M297"/>
      <c r="N297"/>
    </row>
    <row r="298" spans="12:14">
      <c r="L298"/>
      <c r="M298"/>
      <c r="N298"/>
    </row>
    <row r="299" spans="12:14">
      <c r="L299"/>
      <c r="M299"/>
      <c r="N299"/>
    </row>
    <row r="300" spans="12:14">
      <c r="L300"/>
      <c r="M300"/>
      <c r="N300"/>
    </row>
    <row r="301" spans="12:14">
      <c r="L301"/>
      <c r="M301"/>
      <c r="N301"/>
    </row>
    <row r="302" spans="12:14">
      <c r="L302"/>
      <c r="M302"/>
      <c r="N302"/>
    </row>
    <row r="303" spans="12:14">
      <c r="L303"/>
      <c r="M303"/>
      <c r="N303"/>
    </row>
    <row r="304" spans="12:14">
      <c r="L304"/>
      <c r="M304"/>
      <c r="N304"/>
    </row>
    <row r="305" spans="12:14">
      <c r="L305"/>
      <c r="M305"/>
      <c r="N305"/>
    </row>
    <row r="306" spans="12:14">
      <c r="L306"/>
      <c r="M306"/>
      <c r="N306"/>
    </row>
    <row r="307" spans="12:14">
      <c r="L307"/>
      <c r="M307"/>
      <c r="N307"/>
    </row>
    <row r="308" spans="12:14">
      <c r="L308"/>
      <c r="M308"/>
      <c r="N308"/>
    </row>
    <row r="309" spans="12:14">
      <c r="L309"/>
      <c r="M309"/>
      <c r="N309"/>
    </row>
    <row r="310" spans="12:14">
      <c r="L310"/>
      <c r="M310"/>
      <c r="N310"/>
    </row>
    <row r="311" spans="12:14">
      <c r="L311"/>
      <c r="M311"/>
      <c r="N311"/>
    </row>
    <row r="312" spans="12:14">
      <c r="L312"/>
      <c r="M312"/>
      <c r="N312"/>
    </row>
    <row r="313" spans="12:14">
      <c r="L313"/>
      <c r="M313"/>
      <c r="N313"/>
    </row>
    <row r="314" spans="12:14">
      <c r="L314"/>
      <c r="M314"/>
      <c r="N314"/>
    </row>
    <row r="315" spans="12:14">
      <c r="L315"/>
      <c r="M315"/>
      <c r="N315"/>
    </row>
    <row r="316" spans="12:14">
      <c r="L316"/>
      <c r="M316"/>
      <c r="N316"/>
    </row>
    <row r="317" spans="12:14">
      <c r="L317"/>
      <c r="M317"/>
      <c r="N317"/>
    </row>
    <row r="318" spans="12:14">
      <c r="L318"/>
      <c r="M318"/>
      <c r="N318"/>
    </row>
    <row r="319" spans="12:14">
      <c r="L319"/>
      <c r="M319"/>
      <c r="N319"/>
    </row>
    <row r="320" spans="12:14">
      <c r="L320"/>
      <c r="M320"/>
      <c r="N320"/>
    </row>
    <row r="321" spans="12:14">
      <c r="L321"/>
      <c r="M321"/>
      <c r="N321"/>
    </row>
    <row r="322" spans="12:14">
      <c r="L322"/>
      <c r="M322"/>
      <c r="N322"/>
    </row>
    <row r="323" spans="12:14">
      <c r="L323"/>
      <c r="M323"/>
      <c r="N323"/>
    </row>
    <row r="324" spans="12:14">
      <c r="L324"/>
      <c r="M324"/>
      <c r="N324"/>
    </row>
    <row r="325" spans="12:14">
      <c r="L325"/>
      <c r="M325"/>
      <c r="N325"/>
    </row>
    <row r="326" spans="12:14">
      <c r="L326"/>
      <c r="M326"/>
      <c r="N326"/>
    </row>
    <row r="327" spans="12:14">
      <c r="L327"/>
      <c r="M327"/>
      <c r="N327"/>
    </row>
    <row r="328" spans="12:14">
      <c r="L328"/>
      <c r="M328"/>
      <c r="N328"/>
    </row>
    <row r="329" spans="12:14">
      <c r="L329"/>
      <c r="M329"/>
      <c r="N329"/>
    </row>
    <row r="330" spans="12:14">
      <c r="L330"/>
      <c r="M330"/>
      <c r="N330"/>
    </row>
    <row r="331" spans="12:14">
      <c r="L331"/>
      <c r="M331"/>
      <c r="N331"/>
    </row>
    <row r="332" spans="12:14">
      <c r="L332"/>
      <c r="M332"/>
      <c r="N332"/>
    </row>
    <row r="333" spans="12:14">
      <c r="L333"/>
      <c r="M333"/>
      <c r="N333"/>
    </row>
    <row r="334" spans="12:14">
      <c r="L334"/>
      <c r="M334"/>
      <c r="N334"/>
    </row>
    <row r="335" spans="12:14">
      <c r="L335"/>
      <c r="M335"/>
      <c r="N335"/>
    </row>
    <row r="336" spans="12:14">
      <c r="L336"/>
      <c r="M336"/>
      <c r="N336"/>
    </row>
    <row r="337" spans="12:14">
      <c r="L337"/>
      <c r="M337"/>
      <c r="N337"/>
    </row>
    <row r="338" spans="12:14">
      <c r="L338"/>
      <c r="M338"/>
      <c r="N338"/>
    </row>
    <row r="339" spans="12:14">
      <c r="L339"/>
      <c r="M339"/>
      <c r="N339"/>
    </row>
    <row r="340" spans="12:14">
      <c r="L340"/>
      <c r="M340"/>
      <c r="N340"/>
    </row>
    <row r="341" spans="12:14">
      <c r="L341"/>
      <c r="M341"/>
      <c r="N341"/>
    </row>
    <row r="342" spans="12:14">
      <c r="L342"/>
      <c r="M342"/>
      <c r="N342"/>
    </row>
    <row r="343" spans="12:14">
      <c r="L343"/>
      <c r="M343"/>
      <c r="N343"/>
    </row>
    <row r="344" spans="12:14">
      <c r="L344"/>
      <c r="M344"/>
      <c r="N344"/>
    </row>
    <row r="345" spans="12:14">
      <c r="L345"/>
      <c r="M345"/>
      <c r="N345"/>
    </row>
    <row r="346" spans="12:14">
      <c r="L346"/>
      <c r="M346"/>
      <c r="N346"/>
    </row>
    <row r="347" spans="12:14">
      <c r="L347"/>
      <c r="M347"/>
      <c r="N347"/>
    </row>
    <row r="348" spans="12:14">
      <c r="L348"/>
      <c r="M348"/>
      <c r="N348"/>
    </row>
    <row r="349" spans="12:14">
      <c r="L349"/>
      <c r="M349"/>
      <c r="N349"/>
    </row>
    <row r="350" spans="12:14">
      <c r="L350"/>
      <c r="M350"/>
      <c r="N350"/>
    </row>
    <row r="351" spans="12:14">
      <c r="L351"/>
      <c r="M351"/>
      <c r="N351"/>
    </row>
    <row r="352" spans="12:14">
      <c r="L352"/>
      <c r="M352"/>
      <c r="N352"/>
    </row>
    <row r="353" spans="12:14">
      <c r="L353"/>
      <c r="M353"/>
      <c r="N353"/>
    </row>
    <row r="354" spans="12:14">
      <c r="L354"/>
      <c r="M354"/>
      <c r="N354"/>
    </row>
    <row r="355" spans="12:14">
      <c r="L355"/>
      <c r="M355"/>
      <c r="N355"/>
    </row>
    <row r="356" spans="12:14">
      <c r="L356"/>
      <c r="M356"/>
      <c r="N356"/>
    </row>
    <row r="357" spans="12:14">
      <c r="L357"/>
      <c r="M357"/>
      <c r="N357"/>
    </row>
    <row r="358" spans="12:14">
      <c r="L358"/>
      <c r="M358"/>
      <c r="N358"/>
    </row>
    <row r="359" spans="12:14">
      <c r="L359"/>
      <c r="M359"/>
      <c r="N359"/>
    </row>
    <row r="360" spans="12:14">
      <c r="L360"/>
      <c r="M360"/>
      <c r="N360"/>
    </row>
    <row r="361" spans="12:14">
      <c r="L361"/>
      <c r="M361"/>
      <c r="N361"/>
    </row>
    <row r="362" spans="12:14">
      <c r="L362"/>
      <c r="M362"/>
      <c r="N362"/>
    </row>
    <row r="363" spans="12:14">
      <c r="L363"/>
      <c r="M363"/>
      <c r="N363"/>
    </row>
    <row r="364" spans="12:14">
      <c r="L364"/>
      <c r="M364"/>
      <c r="N364"/>
    </row>
    <row r="365" spans="12:14">
      <c r="L365"/>
      <c r="M365"/>
      <c r="N365"/>
    </row>
    <row r="366" spans="12:14">
      <c r="L366"/>
      <c r="M366"/>
      <c r="N366"/>
    </row>
    <row r="367" spans="12:14">
      <c r="L367"/>
      <c r="M367"/>
      <c r="N367"/>
    </row>
    <row r="368" spans="12:14">
      <c r="L368"/>
      <c r="M368"/>
      <c r="N368"/>
    </row>
    <row r="369" spans="12:14">
      <c r="L369"/>
      <c r="M369"/>
      <c r="N369"/>
    </row>
    <row r="370" spans="12:14">
      <c r="L370"/>
      <c r="M370"/>
      <c r="N370"/>
    </row>
    <row r="371" spans="12:14">
      <c r="L371"/>
      <c r="M371"/>
      <c r="N371"/>
    </row>
    <row r="372" spans="12:14">
      <c r="L372"/>
      <c r="M372"/>
      <c r="N372"/>
    </row>
    <row r="373" spans="12:14">
      <c r="L373"/>
      <c r="M373"/>
      <c r="N373"/>
    </row>
    <row r="374" spans="12:14">
      <c r="L374"/>
      <c r="M374"/>
      <c r="N374"/>
    </row>
    <row r="375" spans="12:14">
      <c r="L375"/>
      <c r="M375"/>
      <c r="N375"/>
    </row>
    <row r="376" spans="12:14">
      <c r="L376"/>
      <c r="M376"/>
      <c r="N376"/>
    </row>
    <row r="377" spans="12:14">
      <c r="L377"/>
      <c r="M377"/>
      <c r="N377"/>
    </row>
    <row r="378" spans="12:14">
      <c r="L378"/>
      <c r="M378"/>
      <c r="N378"/>
    </row>
    <row r="379" spans="12:14">
      <c r="L379"/>
      <c r="M379"/>
      <c r="N379"/>
    </row>
    <row r="380" spans="12:14">
      <c r="L380"/>
      <c r="M380"/>
      <c r="N380"/>
    </row>
    <row r="381" spans="12:14">
      <c r="L381"/>
      <c r="M381"/>
      <c r="N381"/>
    </row>
    <row r="382" spans="12:14">
      <c r="L382"/>
      <c r="M382"/>
      <c r="N382"/>
    </row>
    <row r="383" spans="12:14">
      <c r="L383"/>
      <c r="M383"/>
      <c r="N383"/>
    </row>
    <row r="384" spans="12:14">
      <c r="L384"/>
      <c r="M384"/>
      <c r="N384"/>
    </row>
    <row r="385" spans="12:14">
      <c r="L385"/>
      <c r="M385"/>
      <c r="N385"/>
    </row>
    <row r="386" spans="12:14">
      <c r="L386"/>
      <c r="M386"/>
      <c r="N386"/>
    </row>
    <row r="387" spans="12:14">
      <c r="L387"/>
      <c r="M387"/>
      <c r="N387"/>
    </row>
    <row r="388" spans="12:14">
      <c r="L388"/>
      <c r="M388"/>
      <c r="N388"/>
    </row>
    <row r="389" spans="12:14">
      <c r="L389"/>
      <c r="M389"/>
      <c r="N389"/>
    </row>
    <row r="390" spans="12:14">
      <c r="L390"/>
      <c r="M390"/>
      <c r="N390"/>
    </row>
    <row r="391" spans="12:14">
      <c r="L391"/>
      <c r="M391"/>
      <c r="N391"/>
    </row>
    <row r="392" spans="12:14">
      <c r="L392"/>
      <c r="M392"/>
      <c r="N392"/>
    </row>
    <row r="393" spans="12:14">
      <c r="L393"/>
      <c r="M393"/>
      <c r="N393"/>
    </row>
    <row r="394" spans="12:14">
      <c r="L394"/>
      <c r="M394"/>
      <c r="N394"/>
    </row>
    <row r="395" spans="12:14">
      <c r="L395"/>
      <c r="M395"/>
      <c r="N395"/>
    </row>
    <row r="396" spans="12:14">
      <c r="L396"/>
      <c r="M396"/>
      <c r="N396"/>
    </row>
    <row r="397" spans="12:14">
      <c r="L397"/>
      <c r="M397"/>
      <c r="N397"/>
    </row>
    <row r="398" spans="12:14">
      <c r="L398"/>
      <c r="M398"/>
      <c r="N398"/>
    </row>
    <row r="399" spans="12:14">
      <c r="L399"/>
      <c r="M399"/>
      <c r="N399"/>
    </row>
    <row r="400" spans="12:14">
      <c r="L400"/>
      <c r="M400"/>
      <c r="N400"/>
    </row>
    <row r="401" spans="12:14">
      <c r="L401"/>
      <c r="M401"/>
      <c r="N401"/>
    </row>
    <row r="402" spans="12:14">
      <c r="L402"/>
      <c r="M402"/>
      <c r="N402"/>
    </row>
    <row r="403" spans="12:14">
      <c r="L403"/>
      <c r="M403"/>
      <c r="N403"/>
    </row>
    <row r="404" spans="12:14">
      <c r="L404"/>
      <c r="M404"/>
      <c r="N404"/>
    </row>
    <row r="405" spans="12:14">
      <c r="L405"/>
      <c r="M405"/>
      <c r="N405"/>
    </row>
    <row r="406" spans="12:14">
      <c r="L406"/>
      <c r="M406"/>
      <c r="N406"/>
    </row>
    <row r="407" spans="12:14">
      <c r="L407"/>
      <c r="M407"/>
      <c r="N407"/>
    </row>
    <row r="408" spans="12:14">
      <c r="L408"/>
      <c r="M408"/>
      <c r="N408"/>
    </row>
    <row r="409" spans="12:14">
      <c r="L409"/>
      <c r="M409"/>
      <c r="N409"/>
    </row>
    <row r="410" spans="12:14">
      <c r="L410"/>
      <c r="M410"/>
      <c r="N410"/>
    </row>
    <row r="411" spans="12:14">
      <c r="L411"/>
      <c r="M411"/>
      <c r="N411"/>
    </row>
    <row r="412" spans="12:14">
      <c r="L412"/>
      <c r="M412"/>
      <c r="N412"/>
    </row>
    <row r="413" spans="12:14">
      <c r="L413"/>
      <c r="M413"/>
      <c r="N413"/>
    </row>
    <row r="414" spans="12:14">
      <c r="L414"/>
      <c r="M414"/>
      <c r="N414"/>
    </row>
    <row r="415" spans="12:14">
      <c r="L415"/>
      <c r="M415"/>
      <c r="N415"/>
    </row>
    <row r="416" spans="12:14">
      <c r="L416"/>
      <c r="M416"/>
      <c r="N416"/>
    </row>
    <row r="417" spans="12:14">
      <c r="L417"/>
      <c r="M417"/>
      <c r="N417"/>
    </row>
    <row r="418" spans="12:14">
      <c r="L418"/>
      <c r="M418"/>
      <c r="N418"/>
    </row>
    <row r="419" spans="12:14">
      <c r="L419"/>
      <c r="M419"/>
      <c r="N419"/>
    </row>
    <row r="420" spans="12:14">
      <c r="L420"/>
      <c r="M420"/>
      <c r="N420"/>
    </row>
    <row r="421" spans="12:14">
      <c r="L421"/>
      <c r="M421"/>
      <c r="N421"/>
    </row>
    <row r="422" spans="12:14">
      <c r="L422"/>
      <c r="M422"/>
      <c r="N422"/>
    </row>
    <row r="423" spans="12:14">
      <c r="L423"/>
      <c r="M423"/>
      <c r="N423"/>
    </row>
    <row r="424" spans="12:14">
      <c r="L424"/>
      <c r="M424"/>
      <c r="N424"/>
    </row>
    <row r="425" spans="12:14">
      <c r="L425"/>
      <c r="M425"/>
      <c r="N425"/>
    </row>
    <row r="426" spans="12:14">
      <c r="L426"/>
      <c r="M426"/>
      <c r="N426"/>
    </row>
    <row r="427" spans="12:14">
      <c r="L427"/>
      <c r="M427"/>
      <c r="N427"/>
    </row>
    <row r="428" spans="12:14">
      <c r="L428"/>
      <c r="M428"/>
      <c r="N428"/>
    </row>
    <row r="429" spans="12:14">
      <c r="L429"/>
      <c r="M429"/>
      <c r="N429"/>
    </row>
    <row r="430" spans="12:14">
      <c r="L430"/>
      <c r="M430"/>
      <c r="N430"/>
    </row>
    <row r="431" spans="12:14">
      <c r="L431"/>
      <c r="M431"/>
      <c r="N431"/>
    </row>
    <row r="432" spans="12:14">
      <c r="L432"/>
      <c r="M432"/>
      <c r="N432"/>
    </row>
    <row r="433" spans="12:14">
      <c r="L433"/>
      <c r="M433"/>
      <c r="N433"/>
    </row>
    <row r="434" spans="12:14">
      <c r="L434"/>
      <c r="M434"/>
      <c r="N434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2022-10-30T22:59:18Z</dcterms:created>
  <dcterms:modified xsi:type="dcterms:W3CDTF">2022-11-01T12:53:52Z</dcterms:modified>
  <cp:category/>
  <cp:contentStatus/>
</cp:coreProperties>
</file>